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Orçamento Sintético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22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0"/>
    <col min="3" max="3" bestFit="1" customWidth="1" width="10"/>
    <col min="4" max="4" bestFit="1" customWidth="1" width="60"/>
    <col min="5" max="5" bestFit="1" customWidth="1" width="30"/>
    <col min="6" max="6" bestFit="1" customWidth="1" width="5"/>
    <col min="7" max="7" bestFit="1" customWidth="1" width="10"/>
    <col min="8" max="8" bestFit="1" customWidth="1" width="10"/>
    <col min="9" max="9" bestFit="1" customWidth="1" width="10"/>
    <col min="10" max="10" bestFit="1" customWidth="1" width="10"/>
    <col min="11" max="11" bestFit="1" customWidth="1" width="10"/>
    <col min="12" max="12" bestFit="1" customWidth="1" width="10"/>
    <col min="13" max="13" bestFit="1" customWidth="1" width="10"/>
  </cols>
  <sheetData>
    <row r="1">
      <c r="A1" s="3"/>
      <c r="B1" s="3"/>
      <c r="C1" s="3"/>
      <c r="D1" s="3" t="inlineStr">
        <is>
          <t>Obra</t>
        </is>
      </c>
      <c r="E1" s="3" t="inlineStr">
        <is>
          <t>Bancos</t>
        </is>
      </c>
      <c r="F1" s="3" t="inlineStr">
        <is>
          <t>B.D.I.</t>
        </is>
      </c>
      <c r="G1" s="3"/>
      <c r="H1" s="3"/>
      <c r="I1" s="3" t="inlineStr">
        <is>
          <t>Encargos Sociais</t>
        </is>
      </c>
      <c r="J1" s="3"/>
      <c r="K1" s="3"/>
      <c r="L1" s="3"/>
      <c r="M1" s="3"/>
    </row>
    <row customHeight="1" ht="80" r="2">
      <c r="A2" s="55"/>
      <c r="B2" s="55"/>
      <c r="C2" s="55"/>
      <c r="D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E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F2" s="55" t="inlineStr">
        <is>
          <t> 24,86%</t>
        </is>
      </c>
      <c r="G2" s="55"/>
      <c r="H2" s="55"/>
      <c r="I2" s="55" t="inlineStr">
        <is>
          <t>Não Desonerado:  0,00%</t>
        </is>
      </c>
      <c r="J2" s="55"/>
      <c r="K2" s="55"/>
      <c r="L2" s="55"/>
      <c r="M2" s="55"/>
    </row>
    <row r="3">
      <c r="A3" s="4" t="inlineStr">
        <is>
          <t>Planilha Orçamentária Sintética Com Valor da Mão de Obra</t>
        </is>
      </c>
    </row>
    <row customHeight="1" ht="15" r="4">
      <c r="A4" s="5" t="inlineStr">
        <is>
          <t>Item</t>
        </is>
      </c>
      <c r="B4" s="7" t="inlineStr">
        <is>
          <t>Código</t>
        </is>
      </c>
      <c r="C4" s="5" t="inlineStr">
        <is>
          <t>Banco</t>
        </is>
      </c>
      <c r="D4" s="5" t="inlineStr">
        <is>
          <t>Descrição</t>
        </is>
      </c>
      <c r="E4" s="5" t="inlineStr">
        <is>
          <t>Tipo</t>
        </is>
      </c>
      <c r="F4" s="6" t="inlineStr">
        <is>
          <t>Und</t>
        </is>
      </c>
      <c r="G4" s="7" t="inlineStr">
        <is>
          <t>Quant.</t>
        </is>
      </c>
      <c r="H4" s="7" t="inlineStr">
        <is>
          <t>Valor Unit</t>
        </is>
      </c>
      <c r="I4" s="7" t="inlineStr">
        <is>
          <t>Valor Unit com BDI</t>
        </is>
      </c>
      <c r="J4" s="6" t="inlineStr">
        <is>
          <t>Mão de Obra</t>
        </is>
      </c>
      <c r="K4" s="7"/>
      <c r="L4" s="7" t="inlineStr">
        <is>
          <t>Total</t>
        </is>
      </c>
      <c r="M4" s="7" t="inlineStr">
        <is>
          <t>Peso (%)</t>
        </is>
      </c>
    </row>
    <row customHeight="1" ht="15" r="5">
      <c r="A5" s="7"/>
      <c r="B5" s="7"/>
      <c r="C5" s="7"/>
      <c r="D5" s="7"/>
      <c r="E5" s="7"/>
      <c r="F5" s="7"/>
      <c r="G5" s="7"/>
      <c r="H5" s="7"/>
      <c r="I5" s="7"/>
      <c r="J5" s="7" t="inlineStr">
        <is>
          <t>Valor</t>
        </is>
      </c>
      <c r="K5" s="7" t="inlineStr">
        <is>
          <t>%</t>
        </is>
      </c>
      <c r="L5" s="7"/>
      <c r="M5" s="7"/>
    </row>
    <row customHeight="1" ht="24" r="6">
      <c r="A6" s="8" t="inlineStr">
        <is>
          <t> 1 </t>
        </is>
      </c>
      <c r="B6" s="8"/>
      <c r="C6" s="8"/>
      <c r="D6" s="8" t="inlineStr">
        <is>
          <t>SERVIÇOS PRELIMINARES</t>
        </is>
      </c>
      <c r="E6" s="8"/>
      <c r="F6" s="8"/>
      <c r="G6" s="10"/>
      <c r="H6" s="8"/>
      <c r="I6" s="8"/>
      <c r="J6" s="8"/>
      <c r="K6" s="8"/>
      <c r="L6" s="11" t="n">
        <v>90087.46</v>
      </c>
      <c r="M6" s="12" t="n">
        <v>0.015486897565691903</v>
      </c>
    </row>
    <row customHeight="1" ht="24" r="7">
      <c r="A7" s="16" t="inlineStr">
        <is>
          <t> 1.1 </t>
        </is>
      </c>
      <c r="B7" s="18" t="inlineStr">
        <is>
          <t> 51 </t>
        </is>
      </c>
      <c r="C7" s="16" t="inlineStr">
        <is>
          <t>ORSE</t>
        </is>
      </c>
      <c r="D7" s="16" t="inlineStr">
        <is>
          <t>Placa de obra em chapa aço galvanizado, instalada</t>
        </is>
      </c>
      <c r="E7" s="16" t="inlineStr">
        <is>
          <t>Mobilização / Instalações Provisórias / Desmobilização</t>
        </is>
      </c>
      <c r="F7" s="17" t="inlineStr">
        <is>
          <t>m²</t>
        </is>
      </c>
      <c r="G7" s="18" t="n">
        <v>6.0</v>
      </c>
      <c r="H7" s="19" t="n">
        <v>349.5</v>
      </c>
      <c r="I7" s="19" t="n">
        <v>436.38</v>
      </c>
      <c r="J7" s="19" t="n">
        <v>294.66</v>
      </c>
      <c r="K7" s="19" t="n">
        <v>11.25</v>
      </c>
      <c r="L7" s="19" t="str">
        <f>2618.28</f>
      </c>
      <c r="M7" s="20" t="n">
        <v>0.00045010741959313535</v>
      </c>
    </row>
    <row customHeight="1" ht="36" r="8">
      <c r="A8" s="44" t="inlineStr">
        <is>
          <t> 1.2 </t>
        </is>
      </c>
      <c r="B8" s="46" t="inlineStr">
        <is>
          <t> 00010775 </t>
        </is>
      </c>
      <c r="C8" s="44" t="inlineStr">
        <is>
          <t>SINAPI</t>
        </is>
      </c>
      <c r="D8" s="44" t="inlineStr">
        <is>
          <t>LOCACAO DE CONTAINER 2,30  X  6,00 M, ALT. 2,50 M, COM 1 SANITARIO, PARA ESCRITORIO, COMPLETO, SEM DIVISORIAS INTERNAS</t>
        </is>
      </c>
      <c r="E8" s="44" t="inlineStr">
        <is>
          <t>Equipamento</t>
        </is>
      </c>
      <c r="F8" s="45" t="inlineStr">
        <is>
          <t>MES</t>
        </is>
      </c>
      <c r="G8" s="46" t="n">
        <v>6.0</v>
      </c>
      <c r="H8" s="47" t="n">
        <v>650.0</v>
      </c>
      <c r="I8" s="47" t="n">
        <v>811.59</v>
      </c>
      <c r="J8" s="47" t="n">
        <v>0.0</v>
      </c>
      <c r="K8" s="47" t="n">
        <v>0.0</v>
      </c>
      <c r="L8" s="47" t="str">
        <f>4869.54</f>
      </c>
      <c r="M8" s="48" t="n">
        <v>0.0008371205845079809</v>
      </c>
    </row>
    <row customHeight="1" ht="36" r="9">
      <c r="A9" s="44" t="inlineStr">
        <is>
          <t> 1.3 </t>
        </is>
      </c>
      <c r="B9" s="46" t="inlineStr">
        <is>
          <t> 00010776 </t>
        </is>
      </c>
      <c r="C9" s="44" t="inlineStr">
        <is>
          <t>SINAPI</t>
        </is>
      </c>
      <c r="D9" s="44" t="inlineStr">
        <is>
          <t>LOCACAO DE CONTAINER 2,30  X  6,00 M, ALT. 2,50 M, PARA ESCRITORIO, SEM DIVISORIAS INTERNAS E SEM SANITARIO</t>
        </is>
      </c>
      <c r="E9" s="44" t="inlineStr">
        <is>
          <t>Equipamento</t>
        </is>
      </c>
      <c r="F9" s="45" t="inlineStr">
        <is>
          <t>MES</t>
        </is>
      </c>
      <c r="G9" s="46" t="n">
        <v>6.0</v>
      </c>
      <c r="H9" s="47" t="n">
        <v>507.81</v>
      </c>
      <c r="I9" s="47" t="n">
        <v>634.05</v>
      </c>
      <c r="J9" s="47" t="n">
        <v>0.0</v>
      </c>
      <c r="K9" s="47" t="n">
        <v>0.0</v>
      </c>
      <c r="L9" s="47" t="str">
        <f>3804.3</f>
      </c>
      <c r="M9" s="48" t="n">
        <v>0.0006539956216898746</v>
      </c>
    </row>
    <row customHeight="1" ht="24" r="10">
      <c r="A10" s="16" t="inlineStr">
        <is>
          <t> 1.4 </t>
        </is>
      </c>
      <c r="B10" s="18" t="inlineStr">
        <is>
          <t> 6191 </t>
        </is>
      </c>
      <c r="C10" s="16" t="inlineStr">
        <is>
          <t>ORSE</t>
        </is>
      </c>
      <c r="D10" s="16" t="inlineStr">
        <is>
          <t>Limpeza de ruas (varrição e remoção de entulhos)</t>
        </is>
      </c>
      <c r="E10" s="16" t="inlineStr">
        <is>
          <t>Conversão InfoWOrca</t>
        </is>
      </c>
      <c r="F10" s="17" t="inlineStr">
        <is>
          <t>m²</t>
        </is>
      </c>
      <c r="G10" s="18" t="n">
        <v>5200.0</v>
      </c>
      <c r="H10" s="19" t="n">
        <v>0.42</v>
      </c>
      <c r="I10" s="19" t="n">
        <v>0.52</v>
      </c>
      <c r="J10" s="19" t="n">
        <v>2080.0</v>
      </c>
      <c r="K10" s="19" t="n">
        <v>76.92</v>
      </c>
      <c r="L10" s="19" t="str">
        <f>2704.0</f>
      </c>
      <c r="M10" s="20" t="n">
        <v>0.00046484350893710296</v>
      </c>
    </row>
    <row customHeight="1" ht="24" r="11">
      <c r="A11" s="16" t="inlineStr">
        <is>
          <t> 1.5 </t>
        </is>
      </c>
      <c r="B11" s="18" t="inlineStr">
        <is>
          <t> 04.06.01 </t>
        </is>
      </c>
      <c r="C11" s="16" t="inlineStr">
        <is>
          <t>SUDECAP</t>
        </is>
      </c>
      <c r="D11" s="16" t="inlineStr">
        <is>
          <t>MOBILIZACAO E DESMOBILIZACAO DE EQUIPAMENTO</t>
        </is>
      </c>
      <c r="E11" s="16" t="inlineStr">
        <is>
          <t>ESTACA HELICE CONTINUA</t>
        </is>
      </c>
      <c r="F11" s="17" t="inlineStr">
        <is>
          <t>UN</t>
        </is>
      </c>
      <c r="G11" s="18" t="n">
        <v>1.0</v>
      </c>
      <c r="H11" s="19" t="n">
        <v>40000.0</v>
      </c>
      <c r="I11" s="19" t="n">
        <v>49944.0</v>
      </c>
      <c r="J11" s="19" t="n">
        <v>0.0</v>
      </c>
      <c r="K11" s="19" t="n">
        <v>0.0</v>
      </c>
      <c r="L11" s="19" t="str">
        <f>49944.0</f>
      </c>
      <c r="M11" s="20" t="n">
        <v>0.008585852148799804</v>
      </c>
    </row>
    <row customHeight="1" ht="36" r="12">
      <c r="A12" s="44" t="inlineStr">
        <is>
          <t> 1.6 </t>
        </is>
      </c>
      <c r="B12" s="46" t="inlineStr">
        <is>
          <t> 4296 </t>
        </is>
      </c>
      <c r="C12" s="44" t="inlineStr">
        <is>
          <t>ORSE</t>
        </is>
      </c>
      <c r="D12" s="44" t="inlineStr">
        <is>
          <t>Aluguel de container - Refeitório sem banheiro - 6,00 x 2,40m equipado com 01\ar condicionado e mesa para 12 pessoas</t>
        </is>
      </c>
      <c r="E12" s="44" t="inlineStr">
        <is>
          <t>Serviços</t>
        </is>
      </c>
      <c r="F12" s="45" t="inlineStr">
        <is>
          <t>mês</t>
        </is>
      </c>
      <c r="G12" s="46" t="n">
        <v>6.0</v>
      </c>
      <c r="H12" s="47" t="n">
        <v>1526.98</v>
      </c>
      <c r="I12" s="47" t="n">
        <v>1906.58</v>
      </c>
      <c r="J12" s="47" t="n">
        <v>0.0</v>
      </c>
      <c r="K12" s="47" t="n">
        <v>0.0</v>
      </c>
      <c r="L12" s="47" t="str">
        <f>11439.48</f>
      </c>
      <c r="M12" s="48" t="n">
        <v>0.0019665562217514093</v>
      </c>
    </row>
    <row customHeight="1" ht="24" r="13">
      <c r="A13" s="44" t="inlineStr">
        <is>
          <t> 1.7 </t>
        </is>
      </c>
      <c r="B13" s="46" t="inlineStr">
        <is>
          <t> 4299 </t>
        </is>
      </c>
      <c r="C13" s="44" t="inlineStr">
        <is>
          <t>ORSE</t>
        </is>
      </c>
      <c r="D13" s="44" t="inlineStr">
        <is>
          <t>Aluguel de container - Almoxarifado sem banheiro - 6,00 x 2,40m</t>
        </is>
      </c>
      <c r="E13" s="44" t="inlineStr">
        <is>
          <t>Serviços</t>
        </is>
      </c>
      <c r="F13" s="45" t="inlineStr">
        <is>
          <t>mês</t>
        </is>
      </c>
      <c r="G13" s="46" t="n">
        <v>6.0</v>
      </c>
      <c r="H13" s="47" t="n">
        <v>654.42</v>
      </c>
      <c r="I13" s="47" t="n">
        <v>817.1</v>
      </c>
      <c r="J13" s="47" t="n">
        <v>0.0</v>
      </c>
      <c r="K13" s="47" t="n">
        <v>0.0</v>
      </c>
      <c r="L13" s="47" t="str">
        <f>4902.6</f>
      </c>
      <c r="M13" s="48" t="n">
        <v>0.0008428039152792311</v>
      </c>
    </row>
    <row customHeight="1" ht="24" r="14">
      <c r="A14" s="44" t="inlineStr">
        <is>
          <t> 1.8 </t>
        </is>
      </c>
      <c r="B14" s="46" t="inlineStr">
        <is>
          <t> 10491 </t>
        </is>
      </c>
      <c r="C14" s="44" t="inlineStr">
        <is>
          <t>ORSE</t>
        </is>
      </c>
      <c r="D14" s="44" t="inlineStr">
        <is>
          <t>Aluguel de container - Banheiro com 4 chuveiros, 1 lavatório, 1 mictório e 4 bacias - 6,20 x 2,40m</t>
        </is>
      </c>
      <c r="E14" s="44" t="inlineStr">
        <is>
          <t>Serviços</t>
        </is>
      </c>
      <c r="F14" s="45" t="inlineStr">
        <is>
          <t>mês</t>
        </is>
      </c>
      <c r="G14" s="46" t="n">
        <v>6.0</v>
      </c>
      <c r="H14" s="47" t="n">
        <v>1308.84</v>
      </c>
      <c r="I14" s="47" t="n">
        <v>1634.21</v>
      </c>
      <c r="J14" s="47" t="n">
        <v>0.0</v>
      </c>
      <c r="K14" s="47" t="n">
        <v>0.0</v>
      </c>
      <c r="L14" s="47" t="str">
        <f>9805.26</f>
      </c>
      <c r="M14" s="48" t="n">
        <v>0.0016856181451333648</v>
      </c>
    </row>
    <row customHeight="1" ht="24" r="15">
      <c r="A15" s="8" t="inlineStr">
        <is>
          <t> 2 </t>
        </is>
      </c>
      <c r="B15" s="8"/>
      <c r="C15" s="8"/>
      <c r="D15" s="8" t="inlineStr">
        <is>
          <t>ADMINISTRAÇÃO LOCAL</t>
        </is>
      </c>
      <c r="E15" s="8"/>
      <c r="F15" s="8"/>
      <c r="G15" s="10"/>
      <c r="H15" s="8"/>
      <c r="I15" s="8"/>
      <c r="J15" s="8"/>
      <c r="K15" s="8"/>
      <c r="L15" s="11" t="n">
        <v>462613.32</v>
      </c>
      <c r="M15" s="12" t="n">
        <v>0.07952766233352178</v>
      </c>
    </row>
    <row customHeight="1" ht="24" r="16">
      <c r="A16" s="16" t="inlineStr">
        <is>
          <t> 2.1 </t>
        </is>
      </c>
      <c r="B16" s="18" t="inlineStr">
        <is>
          <t> 93567 </t>
        </is>
      </c>
      <c r="C16" s="16" t="inlineStr">
        <is>
          <t>SINAPI</t>
        </is>
      </c>
      <c r="D16" s="16" t="inlineStr">
        <is>
          <t>ENGENHEIRO CIVIL DE OBRA PLENO COM ENCARGOS COMPLEMENTARES</t>
        </is>
      </c>
      <c r="E16" s="16" t="inlineStr">
        <is>
          <t>SEDI - SERVIÇOS DIVERSOS</t>
        </is>
      </c>
      <c r="F16" s="17" t="inlineStr">
        <is>
          <t>MES</t>
        </is>
      </c>
      <c r="G16" s="18" t="n">
        <v>6.0</v>
      </c>
      <c r="H16" s="19" t="n">
        <v>18775.83</v>
      </c>
      <c r="I16" s="19" t="n">
        <v>23443.5</v>
      </c>
      <c r="J16" s="19" t="n">
        <v>138579.78</v>
      </c>
      <c r="K16" s="19" t="n">
        <v>98.52</v>
      </c>
      <c r="L16" s="19" t="str">
        <f>140661.0</f>
      </c>
      <c r="M16" s="20" t="n">
        <v>0.024180973672559853</v>
      </c>
    </row>
    <row customHeight="1" ht="24" r="17">
      <c r="A17" s="16" t="inlineStr">
        <is>
          <t> 2.2 </t>
        </is>
      </c>
      <c r="B17" s="18" t="inlineStr">
        <is>
          <t> 93567 </t>
        </is>
      </c>
      <c r="C17" s="16" t="inlineStr">
        <is>
          <t>SINAPI</t>
        </is>
      </c>
      <c r="D17" s="16" t="inlineStr">
        <is>
          <t>ENGENHEIRO CIVIL DE OBRA PLENO COM ENCARGOS COMPLEMENTARES</t>
        </is>
      </c>
      <c r="E17" s="16" t="inlineStr">
        <is>
          <t>SEDI - SERVIÇOS DIVERSOS</t>
        </is>
      </c>
      <c r="F17" s="17" t="inlineStr">
        <is>
          <t>MES</t>
        </is>
      </c>
      <c r="G17" s="18" t="n">
        <v>6.0</v>
      </c>
      <c r="H17" s="19" t="n">
        <v>18775.83</v>
      </c>
      <c r="I17" s="19" t="n">
        <v>23443.5</v>
      </c>
      <c r="J17" s="19" t="n">
        <v>138579.78</v>
      </c>
      <c r="K17" s="19" t="n">
        <v>98.52</v>
      </c>
      <c r="L17" s="19" t="str">
        <f>140661.0</f>
      </c>
      <c r="M17" s="20" t="n">
        <v>0.024180973672559853</v>
      </c>
    </row>
    <row customHeight="1" ht="24" r="18">
      <c r="A18" s="16" t="inlineStr">
        <is>
          <t> 2.3 </t>
        </is>
      </c>
      <c r="B18" s="18" t="inlineStr">
        <is>
          <t> 93566 </t>
        </is>
      </c>
      <c r="C18" s="16" t="inlineStr">
        <is>
          <t>SINAPI</t>
        </is>
      </c>
      <c r="D18" s="16" t="inlineStr">
        <is>
          <t>AUXILIAR DE ESCRITORIO COM ENCARGOS COMPLEMENTARES</t>
        </is>
      </c>
      <c r="E18" s="16" t="inlineStr">
        <is>
          <t>SEDI - SERVIÇOS DIVERSOS</t>
        </is>
      </c>
      <c r="F18" s="17" t="inlineStr">
        <is>
          <t>MES</t>
        </is>
      </c>
      <c r="G18" s="18" t="n">
        <v>6.0</v>
      </c>
      <c r="H18" s="19" t="n">
        <v>2441.1</v>
      </c>
      <c r="I18" s="19" t="n">
        <v>3047.95</v>
      </c>
      <c r="J18" s="19" t="n">
        <v>16100.16</v>
      </c>
      <c r="K18" s="19" t="n">
        <v>88.04</v>
      </c>
      <c r="L18" s="19" t="str">
        <f>18287.7</f>
      </c>
      <c r="M18" s="20" t="n">
        <v>0.003143830857392403</v>
      </c>
    </row>
    <row customHeight="1" ht="24" r="19">
      <c r="A19" s="16" t="inlineStr">
        <is>
          <t> 2.4 </t>
        </is>
      </c>
      <c r="B19" s="18" t="inlineStr">
        <is>
          <t> 100321 </t>
        </is>
      </c>
      <c r="C19" s="16" t="inlineStr">
        <is>
          <t>SINAPI</t>
        </is>
      </c>
      <c r="D19" s="16" t="inlineStr">
        <is>
          <t>TÉCNICO EM SEGURANÇA DO TRABALHO COM ENCARGOS COMPLEMENTARES</t>
        </is>
      </c>
      <c r="E19" s="16" t="inlineStr">
        <is>
          <t>SEDI - SERVIÇOS DIVERSOS</t>
        </is>
      </c>
      <c r="F19" s="17" t="inlineStr">
        <is>
          <t>MES</t>
        </is>
      </c>
      <c r="G19" s="18" t="n">
        <v>6.0</v>
      </c>
      <c r="H19" s="19" t="n">
        <v>3787.09</v>
      </c>
      <c r="I19" s="19" t="n">
        <v>4728.56</v>
      </c>
      <c r="J19" s="19" t="n">
        <v>26183.7</v>
      </c>
      <c r="K19" s="19" t="n">
        <v>92.29</v>
      </c>
      <c r="L19" s="19" t="str">
        <f>28371.36</f>
      </c>
      <c r="M19" s="20" t="n">
        <v>0.004877308630073138</v>
      </c>
    </row>
    <row customHeight="1" ht="24" r="20">
      <c r="A20" s="16" t="inlineStr">
        <is>
          <t> 2.5 </t>
        </is>
      </c>
      <c r="B20" s="18" t="inlineStr">
        <is>
          <t> 94295 </t>
        </is>
      </c>
      <c r="C20" s="16" t="inlineStr">
        <is>
          <t>SINAPI</t>
        </is>
      </c>
      <c r="D20" s="16" t="inlineStr">
        <is>
          <t>MESTRE DE OBRAS COM ENCARGOS COMPLEMENTARES</t>
        </is>
      </c>
      <c r="E20" s="16" t="inlineStr">
        <is>
          <t>SEDI - SERVIÇOS DIVERSOS</t>
        </is>
      </c>
      <c r="F20" s="17" t="inlineStr">
        <is>
          <t>MES</t>
        </is>
      </c>
      <c r="G20" s="18" t="n">
        <v>6.0</v>
      </c>
      <c r="H20" s="19" t="n">
        <v>4942.12</v>
      </c>
      <c r="I20" s="19" t="n">
        <v>6170.73</v>
      </c>
      <c r="J20" s="19" t="n">
        <v>34223.34</v>
      </c>
      <c r="K20" s="19" t="n">
        <v>92.43</v>
      </c>
      <c r="L20" s="19" t="str">
        <f>37024.38</f>
      </c>
      <c r="M20" s="20" t="n">
        <v>0.006364845678779843</v>
      </c>
    </row>
    <row customHeight="1" ht="24" r="21">
      <c r="A21" s="16" t="inlineStr">
        <is>
          <t> 2.6 </t>
        </is>
      </c>
      <c r="B21" s="18" t="inlineStr">
        <is>
          <t> 100534 </t>
        </is>
      </c>
      <c r="C21" s="16" t="inlineStr">
        <is>
          <t>SINAPI</t>
        </is>
      </c>
      <c r="D21" s="16" t="inlineStr">
        <is>
          <t>TECNICO DE EDIFICACOES COM ENCARGOS COMPLEMENTARES</t>
        </is>
      </c>
      <c r="E21" s="16" t="inlineStr">
        <is>
          <t>SEDI - SERVIÇOS DIVERSOS</t>
        </is>
      </c>
      <c r="F21" s="17" t="inlineStr">
        <is>
          <t>MES</t>
        </is>
      </c>
      <c r="G21" s="18" t="n">
        <v>6.0</v>
      </c>
      <c r="H21" s="19" t="n">
        <v>5723.28</v>
      </c>
      <c r="I21" s="19" t="n">
        <v>7146.08</v>
      </c>
      <c r="J21" s="19" t="n">
        <v>40688.94</v>
      </c>
      <c r="K21" s="19" t="n">
        <v>94.9</v>
      </c>
      <c r="L21" s="19" t="str">
        <f>42876.48</f>
      </c>
      <c r="M21" s="20" t="n">
        <v>0.0073708777418903535</v>
      </c>
    </row>
    <row customHeight="1" ht="24" r="22">
      <c r="A22" s="16" t="inlineStr">
        <is>
          <t> 2.7 </t>
        </is>
      </c>
      <c r="B22" s="18" t="inlineStr">
        <is>
          <t> 93563 </t>
        </is>
      </c>
      <c r="C22" s="16" t="inlineStr">
        <is>
          <t>SINAPI</t>
        </is>
      </c>
      <c r="D22" s="16" t="inlineStr">
        <is>
          <t>ALMOXARIFE COM ENCARGOS COMPLEMENTARES</t>
        </is>
      </c>
      <c r="E22" s="16" t="inlineStr">
        <is>
          <t>SEDI - SERVIÇOS DIVERSOS</t>
        </is>
      </c>
      <c r="F22" s="17" t="inlineStr">
        <is>
          <t>MES</t>
        </is>
      </c>
      <c r="G22" s="18" t="n">
        <v>6.0</v>
      </c>
      <c r="H22" s="19" t="n">
        <v>3078.31</v>
      </c>
      <c r="I22" s="19" t="n">
        <v>3843.57</v>
      </c>
      <c r="J22" s="19" t="n">
        <v>20873.82</v>
      </c>
      <c r="K22" s="19" t="n">
        <v>90.51</v>
      </c>
      <c r="L22" s="19" t="str">
        <f>23061.42</f>
      </c>
      <c r="M22" s="20" t="n">
        <v>0.00396447906578117</v>
      </c>
    </row>
    <row customHeight="1" ht="24" r="23">
      <c r="A23" s="16" t="inlineStr">
        <is>
          <t> 2.8 </t>
        </is>
      </c>
      <c r="B23" s="18" t="inlineStr">
        <is>
          <t> 012710 </t>
        </is>
      </c>
      <c r="C23" s="16" t="inlineStr">
        <is>
          <t>SBC</t>
        </is>
      </c>
      <c r="D23" s="16" t="inlineStr">
        <is>
          <t>DESPESAS GERAIS DE MANUTENCAO CANTEIRO DE OBRAS</t>
        </is>
      </c>
      <c r="E23" s="16" t="n">
        <v>12</v>
      </c>
      <c r="F23" s="17" t="inlineStr">
        <is>
          <t>MES</t>
        </is>
      </c>
      <c r="G23" s="18" t="n">
        <v>6.0</v>
      </c>
      <c r="H23" s="19" t="n">
        <v>4227.4</v>
      </c>
      <c r="I23" s="19" t="n">
        <v>5278.33</v>
      </c>
      <c r="J23" s="19" t="n">
        <v>0.0</v>
      </c>
      <c r="K23" s="19" t="n">
        <v>0.0</v>
      </c>
      <c r="L23" s="19" t="str">
        <f>31669.98</f>
      </c>
      <c r="M23" s="20" t="n">
        <v>0.00544437301448516</v>
      </c>
    </row>
    <row customHeight="1" ht="48" r="24">
      <c r="A24" s="8" t="inlineStr">
        <is>
          <t> 3 </t>
        </is>
      </c>
      <c r="B24" s="8"/>
      <c r="C24" s="8"/>
      <c r="D24" s="8" t="inlineStr">
        <is>
          <t>CONSTRUÇÃO E MONTAGEM DE UMA NOVA SUBESTAÇÃO ABRIGADA DE 1500KVA, REDES ELÉTRICAS, ALIMENTAÇÃO ELÉTRICA PARA CONTAINERS, E ILUMINAÇÃO DA ÁREA PRIMARIA</t>
        </is>
      </c>
      <c r="E24" s="8"/>
      <c r="F24" s="8"/>
      <c r="G24" s="10"/>
      <c r="H24" s="8"/>
      <c r="I24" s="8"/>
      <c r="J24" s="8"/>
      <c r="K24" s="8"/>
      <c r="L24" s="11" t="n">
        <v>5264310.64</v>
      </c>
      <c r="M24" s="12" t="n">
        <v>0.9049854401007863</v>
      </c>
    </row>
    <row customHeight="1" ht="24" r="25">
      <c r="A25" s="8" t="inlineStr">
        <is>
          <t> 3.1 </t>
        </is>
      </c>
      <c r="B25" s="8"/>
      <c r="C25" s="8"/>
      <c r="D25" s="8" t="inlineStr">
        <is>
          <t>MONTAGEM ELETROMECÂNICA - SUBSTAÇÃO</t>
        </is>
      </c>
      <c r="E25" s="8"/>
      <c r="F25" s="8"/>
      <c r="G25" s="10"/>
      <c r="H25" s="8"/>
      <c r="I25" s="8"/>
      <c r="J25" s="8"/>
      <c r="K25" s="8"/>
      <c r="L25" s="11" t="n">
        <v>1381268.19</v>
      </c>
      <c r="M25" s="12" t="n">
        <v>0.23745323676878735</v>
      </c>
    </row>
    <row customHeight="1" ht="24" r="26">
      <c r="A26" s="8" t="inlineStr">
        <is>
          <t> 3.1.1 </t>
        </is>
      </c>
      <c r="B26" s="8"/>
      <c r="C26" s="8"/>
      <c r="D26" s="8" t="inlineStr">
        <is>
          <t>Ramal de Entrada AT</t>
        </is>
      </c>
      <c r="E26" s="8"/>
      <c r="F26" s="8"/>
      <c r="G26" s="10"/>
      <c r="H26" s="8"/>
      <c r="I26" s="8"/>
      <c r="J26" s="8"/>
      <c r="K26" s="8"/>
      <c r="L26" s="11" t="n">
        <v>37297.72</v>
      </c>
      <c r="M26" s="12" t="n">
        <v>0.006411835443843774</v>
      </c>
    </row>
    <row customHeight="1" ht="24" r="27">
      <c r="A27" s="44" t="inlineStr">
        <is>
          <t> 3.1.1.1 </t>
        </is>
      </c>
      <c r="B27" s="46" t="inlineStr">
        <is>
          <t> 00000379 </t>
        </is>
      </c>
      <c r="C27" s="44" t="inlineStr">
        <is>
          <t>SINAPI</t>
        </is>
      </c>
      <c r="D27" s="44" t="inlineStr">
        <is>
          <t>ARRUELA QUADRADA EM ACO GALVANIZADO, DIMENSAO = 38 MM, ESPESSURA = 3MM, DIAMETRO DO FURO= 18 MM</t>
        </is>
      </c>
      <c r="E27" s="44" t="inlineStr">
        <is>
          <t>Material</t>
        </is>
      </c>
      <c r="F27" s="45" t="inlineStr">
        <is>
          <t>UN</t>
        </is>
      </c>
      <c r="G27" s="46" t="n">
        <v>18.0</v>
      </c>
      <c r="H27" s="47" t="n">
        <v>0.88</v>
      </c>
      <c r="I27" s="47" t="n">
        <v>1.09</v>
      </c>
      <c r="J27" s="47" t="n">
        <v>0.0</v>
      </c>
      <c r="K27" s="47" t="n">
        <v>0.0</v>
      </c>
      <c r="L27" s="47" t="str">
        <f>19.62</f>
      </c>
      <c r="M27" s="48" t="n">
        <v>3.3728659931013167e-06</v>
      </c>
    </row>
    <row customHeight="1" ht="24" r="28">
      <c r="A28" s="16" t="inlineStr">
        <is>
          <t> 3.1.1.2 </t>
        </is>
      </c>
      <c r="B28" s="18" t="inlineStr">
        <is>
          <t> 11401 </t>
        </is>
      </c>
      <c r="C28" s="16" t="inlineStr">
        <is>
          <t>ORSE</t>
        </is>
      </c>
      <c r="D28" s="16" t="inlineStr">
        <is>
          <t>Cabo de cobre isolado em EPR flexível unipolar  25mm²  - 12Kv/20Kv/90°</t>
        </is>
      </c>
      <c r="E28" s="16" t="inlineStr">
        <is>
          <t>Interligações até Quadro Geral - Fios e Cabos</t>
        </is>
      </c>
      <c r="F28" s="17" t="inlineStr">
        <is>
          <t>m</t>
        </is>
      </c>
      <c r="G28" s="18" t="n">
        <v>80.0</v>
      </c>
      <c r="H28" s="19" t="n">
        <v>75.51</v>
      </c>
      <c r="I28" s="19" t="n">
        <v>94.28</v>
      </c>
      <c r="J28" s="19" t="n">
        <v>465.6</v>
      </c>
      <c r="K28" s="19" t="n">
        <v>6.17</v>
      </c>
      <c r="L28" s="19" t="str">
        <f>7542.4</f>
      </c>
      <c r="M28" s="20" t="n">
        <v>0.001296610829070712</v>
      </c>
    </row>
    <row customHeight="1" ht="24" r="29">
      <c r="A29" s="16" t="inlineStr">
        <is>
          <t> 3.1.1.3 </t>
        </is>
      </c>
      <c r="B29" s="18" t="inlineStr">
        <is>
          <t> 8082 </t>
        </is>
      </c>
      <c r="C29" s="16" t="inlineStr">
        <is>
          <t>ORSE</t>
        </is>
      </c>
      <c r="D29" s="16" t="inlineStr">
        <is>
          <t>Cabo de cobre nú 50 mm2 - fornecimento e assentamento (2,27m/kg)</t>
        </is>
      </c>
      <c r="E29" s="16" t="inlineStr">
        <is>
          <t>Pára-raios</t>
        </is>
      </c>
      <c r="F29" s="17" t="inlineStr">
        <is>
          <t>kg</t>
        </is>
      </c>
      <c r="G29" s="18" t="n">
        <v>15.0</v>
      </c>
      <c r="H29" s="19" t="n">
        <v>121.89</v>
      </c>
      <c r="I29" s="19" t="n">
        <v>152.19</v>
      </c>
      <c r="J29" s="19" t="n">
        <v>82.35</v>
      </c>
      <c r="K29" s="19" t="n">
        <v>3.61</v>
      </c>
      <c r="L29" s="19" t="str">
        <f>2282.85</f>
      </c>
      <c r="M29" s="20" t="n">
        <v>0.00039244378860098575</v>
      </c>
    </row>
    <row customHeight="1" ht="24" r="30">
      <c r="A30" s="16" t="inlineStr">
        <is>
          <t> 3.1.1.4 </t>
        </is>
      </c>
      <c r="B30" s="18" t="inlineStr">
        <is>
          <t> 98111 </t>
        </is>
      </c>
      <c r="C30" s="16" t="inlineStr">
        <is>
          <t>SINAPI</t>
        </is>
      </c>
      <c r="D30" s="16" t="inlineStr">
        <is>
          <t>CAIXA DE INSPEÇÃO PARA ATERRAMENTO, CIRCULAR, EM POLIETILENO, DIÂMETRO INTERNO = 0,3 M. AF_05/2018</t>
        </is>
      </c>
      <c r="E30" s="16" t="inlineStr">
        <is>
          <t>INHI - INSTALAÇÕES HIDROS SANITÁRIAS</t>
        </is>
      </c>
      <c r="F30" s="17" t="inlineStr">
        <is>
          <t>UN</t>
        </is>
      </c>
      <c r="G30" s="18" t="n">
        <v>3.0</v>
      </c>
      <c r="H30" s="19" t="n">
        <v>36.84</v>
      </c>
      <c r="I30" s="19" t="n">
        <v>45.99</v>
      </c>
      <c r="J30" s="19" t="n">
        <v>21.48</v>
      </c>
      <c r="K30" s="19" t="n">
        <v>15.57</v>
      </c>
      <c r="L30" s="19" t="str">
        <f>137.97</f>
      </c>
      <c r="M30" s="20" t="n">
        <v>2.3718364988184948e-05</v>
      </c>
    </row>
    <row customHeight="1" ht="24" r="31">
      <c r="A31" s="16" t="inlineStr">
        <is>
          <t> 3.1.1.5 </t>
        </is>
      </c>
      <c r="B31" s="18" t="inlineStr">
        <is>
          <t> 296 </t>
        </is>
      </c>
      <c r="C31" s="16" t="inlineStr">
        <is>
          <t>Próprio</t>
        </is>
      </c>
      <c r="D31" s="16" t="inlineStr">
        <is>
          <t>Fornecimento e instalação de chave seccionadora monopolar 15kv - 400a</t>
        </is>
      </c>
      <c r="E31" s="16" t="inlineStr">
        <is>
          <t>INEL - INSTALAÇÃO ELÉTRICA/ELETRIFICAÇÃO E ILUMINAÇÃO EXTERNA</t>
        </is>
      </c>
      <c r="F31" s="17" t="inlineStr">
        <is>
          <t>un</t>
        </is>
      </c>
      <c r="G31" s="18" t="n">
        <v>3.0</v>
      </c>
      <c r="H31" s="19" t="n">
        <v>606.96</v>
      </c>
      <c r="I31" s="19" t="n">
        <v>757.85</v>
      </c>
      <c r="J31" s="19" t="n">
        <v>361.5</v>
      </c>
      <c r="K31" s="19" t="n">
        <v>15.9</v>
      </c>
      <c r="L31" s="19" t="str">
        <f>2273.55</f>
      </c>
      <c r="M31" s="20" t="n">
        <v>0.0003908450294911059</v>
      </c>
    </row>
    <row customHeight="1" ht="24" r="32">
      <c r="A32" s="16" t="inlineStr">
        <is>
          <t> 3.1.1.6 </t>
        </is>
      </c>
      <c r="B32" s="18" t="inlineStr">
        <is>
          <t> 10270 </t>
        </is>
      </c>
      <c r="C32" s="16" t="inlineStr">
        <is>
          <t>ORSE</t>
        </is>
      </c>
      <c r="D32" s="16" t="inlineStr">
        <is>
          <t>Conector de terra duplo - fornecimento</t>
        </is>
      </c>
      <c r="E32" s="16" t="inlineStr">
        <is>
          <t>Pontos de Suprimento de Telefone</t>
        </is>
      </c>
      <c r="F32" s="17" t="inlineStr">
        <is>
          <t>un</t>
        </is>
      </c>
      <c r="G32" s="18" t="n">
        <v>3.0</v>
      </c>
      <c r="H32" s="19" t="n">
        <v>16.89</v>
      </c>
      <c r="I32" s="19" t="n">
        <v>21.08</v>
      </c>
      <c r="J32" s="19" t="n">
        <v>0.0</v>
      </c>
      <c r="K32" s="19" t="n">
        <v>0.0</v>
      </c>
      <c r="L32" s="19" t="str">
        <f>63.24</f>
      </c>
      <c r="M32" s="20" t="n">
        <v>1.0871561947182838e-05</v>
      </c>
    </row>
    <row customHeight="1" ht="24" r="33">
      <c r="A33" s="16" t="inlineStr">
        <is>
          <t> 3.1.1.7 </t>
        </is>
      </c>
      <c r="B33" s="18" t="inlineStr">
        <is>
          <t> 2864 </t>
        </is>
      </c>
      <c r="C33" s="16" t="inlineStr">
        <is>
          <t>ORSE</t>
        </is>
      </c>
      <c r="D33" s="16" t="inlineStr">
        <is>
          <t>Fornecimento de cruzeta de concreto tipo "t"  1900mm</t>
        </is>
      </c>
      <c r="E33" s="16" t="inlineStr">
        <is>
          <t>Fornecimento de Materiais para Redes de Energia Elétrica e Iluminação</t>
        </is>
      </c>
      <c r="F33" s="17" t="inlineStr">
        <is>
          <t>un</t>
        </is>
      </c>
      <c r="G33" s="18" t="n">
        <v>4.0</v>
      </c>
      <c r="H33" s="19" t="n">
        <v>128.0</v>
      </c>
      <c r="I33" s="19" t="n">
        <v>159.82</v>
      </c>
      <c r="J33" s="19" t="n">
        <v>0.0</v>
      </c>
      <c r="K33" s="19" t="n">
        <v>0.0</v>
      </c>
      <c r="L33" s="19" t="str">
        <f>639.28</f>
      </c>
      <c r="M33" s="20" t="n">
        <v>0.00010989835739397602</v>
      </c>
    </row>
    <row customHeight="1" ht="24" r="34">
      <c r="A34" s="16" t="inlineStr">
        <is>
          <t> 3.1.1.8 </t>
        </is>
      </c>
      <c r="B34" s="18" t="inlineStr">
        <is>
          <t> ELE-ELE-135 </t>
        </is>
      </c>
      <c r="C34" s="16" t="inlineStr">
        <is>
          <t>SETOP</t>
        </is>
      </c>
      <c r="D34" s="16" t="inlineStr">
        <is>
          <t>ELETRODUTO DE AÇO GALVANIZADO PESADO, INCLUSIVE CONEXÕES, SUPORTES E FIXAÇÃO DN 100 (4")</t>
        </is>
      </c>
      <c r="E34" s="16" t="inlineStr">
        <is>
          <t/>
        </is>
      </c>
      <c r="F34" s="17" t="inlineStr">
        <is>
          <t>M</t>
        </is>
      </c>
      <c r="G34" s="18" t="n">
        <v>40.0</v>
      </c>
      <c r="H34" s="19" t="n">
        <v>122.04</v>
      </c>
      <c r="I34" s="19" t="n">
        <v>152.37</v>
      </c>
      <c r="J34" s="19" t="n">
        <v>1522.8</v>
      </c>
      <c r="K34" s="19" t="n">
        <v>24.99</v>
      </c>
      <c r="L34" s="19" t="str">
        <f>6094.8</f>
      </c>
      <c r="M34" s="20" t="n">
        <v>0.0010477545185909227</v>
      </c>
    </row>
    <row customHeight="1" ht="24" r="35">
      <c r="A35" s="16" t="inlineStr">
        <is>
          <t> 3.1.1.9 </t>
        </is>
      </c>
      <c r="B35" s="18" t="inlineStr">
        <is>
          <t> 090298 </t>
        </is>
      </c>
      <c r="C35" s="16" t="inlineStr">
        <is>
          <t>SIURB</t>
        </is>
      </c>
      <c r="D35" s="16" t="inlineStr">
        <is>
          <t>ENVELOPAMENTO DE ELETRODUTO ENTERRADO, COM CONCRETO</t>
        </is>
      </c>
      <c r="E35" s="16" t="inlineStr">
        <is>
          <t>Edificações</t>
        </is>
      </c>
      <c r="F35" s="17" t="inlineStr">
        <is>
          <t>M</t>
        </is>
      </c>
      <c r="G35" s="18" t="n">
        <v>240.0</v>
      </c>
      <c r="H35" s="19" t="n">
        <v>29.13</v>
      </c>
      <c r="I35" s="19" t="n">
        <v>36.37</v>
      </c>
      <c r="J35" s="19" t="n">
        <v>5647.2</v>
      </c>
      <c r="K35" s="19" t="n">
        <v>64.7</v>
      </c>
      <c r="L35" s="19" t="str">
        <f>8728.8</f>
      </c>
      <c r="M35" s="20" t="n">
        <v>0.0015005643568085</v>
      </c>
    </row>
    <row customHeight="1" ht="36" r="36">
      <c r="A36" s="16" t="inlineStr">
        <is>
          <t> 3.1.1.10 </t>
        </is>
      </c>
      <c r="B36" s="18" t="inlineStr">
        <is>
          <t> 72915 </t>
        </is>
      </c>
      <c r="C36" s="16" t="inlineStr">
        <is>
          <t>SINAPI</t>
        </is>
      </c>
      <c r="D36" s="16" t="inlineStr">
        <is>
          <t>ESCAVACAO MECANICA DE VALA EM MATERIAL DE 2A. CATEGORIA ATE 2 M DE PROFUNDIDADE COM UTILIZACAO DE ESCAVADEIRA HIDRAULICA</t>
        </is>
      </c>
      <c r="E36" s="16" t="inlineStr">
        <is>
          <t>MOVT - MOVIMENTO DE TERRA</t>
        </is>
      </c>
      <c r="F36" s="17" t="inlineStr">
        <is>
          <t>m³</t>
        </is>
      </c>
      <c r="G36" s="18" t="n">
        <v>35.0</v>
      </c>
      <c r="H36" s="19" t="n">
        <v>12.36</v>
      </c>
      <c r="I36" s="19" t="n">
        <v>15.43</v>
      </c>
      <c r="J36" s="19" t="n">
        <v>118.65</v>
      </c>
      <c r="K36" s="19" t="n">
        <v>21.97</v>
      </c>
      <c r="L36" s="19" t="str">
        <f>540.05</f>
      </c>
      <c r="M36" s="20" t="n">
        <v>9.283976960113996e-05</v>
      </c>
    </row>
    <row customHeight="1" ht="24" r="37">
      <c r="A37" s="44" t="inlineStr">
        <is>
          <t> 3.1.1.11 </t>
        </is>
      </c>
      <c r="B37" s="46" t="inlineStr">
        <is>
          <t> 10617 </t>
        </is>
      </c>
      <c r="C37" s="44" t="inlineStr">
        <is>
          <t>ORSE</t>
        </is>
      </c>
      <c r="D37" s="44" t="inlineStr">
        <is>
          <t>Conector Estribo Reto com capa de cobre estanhado para cabo isolado 50mm2</t>
        </is>
      </c>
      <c r="E37" s="44" t="inlineStr">
        <is>
          <t>Material</t>
        </is>
      </c>
      <c r="F37" s="45" t="inlineStr">
        <is>
          <t>un</t>
        </is>
      </c>
      <c r="G37" s="46" t="n">
        <v>3.0</v>
      </c>
      <c r="H37" s="47" t="n">
        <v>36.45</v>
      </c>
      <c r="I37" s="47" t="n">
        <v>45.51</v>
      </c>
      <c r="J37" s="47" t="n">
        <v>0.0</v>
      </c>
      <c r="K37" s="47" t="n">
        <v>0.0</v>
      </c>
      <c r="L37" s="47" t="str">
        <f>136.53</f>
      </c>
      <c r="M37" s="48" t="n">
        <v>2.3470815190526133e-05</v>
      </c>
    </row>
    <row customHeight="1" ht="24" r="38">
      <c r="A38" s="16" t="inlineStr">
        <is>
          <t> 3.1.1.12 </t>
        </is>
      </c>
      <c r="B38" s="18" t="inlineStr">
        <is>
          <t> 3999 </t>
        </is>
      </c>
      <c r="C38" s="16" t="inlineStr">
        <is>
          <t>ORSE</t>
        </is>
      </c>
      <c r="D38" s="16" t="inlineStr">
        <is>
          <t>Fita em aço inox, fusimec ou similar - Fornecimento</t>
        </is>
      </c>
      <c r="E38" s="16" t="inlineStr">
        <is>
          <t>Pontos de Suprimento de Energia Convencionais</t>
        </is>
      </c>
      <c r="F38" s="17" t="inlineStr">
        <is>
          <t>M</t>
        </is>
      </c>
      <c r="G38" s="18" t="n">
        <v>6.0</v>
      </c>
      <c r="H38" s="19" t="n">
        <v>3.99</v>
      </c>
      <c r="I38" s="19" t="n">
        <v>4.98</v>
      </c>
      <c r="J38" s="19" t="n">
        <v>0.0</v>
      </c>
      <c r="K38" s="19" t="n">
        <v>0.0</v>
      </c>
      <c r="L38" s="19" t="str">
        <f>29.88</f>
      </c>
      <c r="M38" s="20" t="n">
        <v>5.136658301420353e-06</v>
      </c>
    </row>
    <row customHeight="1" ht="24" r="39">
      <c r="A39" s="16" t="inlineStr">
        <is>
          <t> 3.1.1.13 </t>
        </is>
      </c>
      <c r="B39" s="18" t="inlineStr">
        <is>
          <t> 2885 </t>
        </is>
      </c>
      <c r="C39" s="16" t="inlineStr">
        <is>
          <t>ORSE</t>
        </is>
      </c>
      <c r="D39" s="16" t="inlineStr">
        <is>
          <t>Fornecimento de grampo de linha viva 6 a 250 mcm, ramal 8 a 2/0 awg</t>
        </is>
      </c>
      <c r="E39" s="16" t="inlineStr">
        <is>
          <t>Fornecimento de Materiais para Redes de Energia Elétrica e Iluminação</t>
        </is>
      </c>
      <c r="F39" s="17" t="inlineStr">
        <is>
          <t>un</t>
        </is>
      </c>
      <c r="G39" s="18" t="n">
        <v>3.0</v>
      </c>
      <c r="H39" s="19" t="n">
        <v>13.18</v>
      </c>
      <c r="I39" s="19" t="n">
        <v>16.45</v>
      </c>
      <c r="J39" s="19" t="n">
        <v>0.0</v>
      </c>
      <c r="K39" s="19" t="n">
        <v>0.0</v>
      </c>
      <c r="L39" s="19" t="str">
        <f>49.35</f>
      </c>
      <c r="M39" s="20" t="n">
        <v>8.483737857265543e-06</v>
      </c>
    </row>
    <row customHeight="1" ht="24" r="40">
      <c r="A40" s="16" t="inlineStr">
        <is>
          <t> 3.1.1.14 </t>
        </is>
      </c>
      <c r="B40" s="18" t="inlineStr">
        <is>
          <t> 9379 </t>
        </is>
      </c>
      <c r="C40" s="16" t="inlineStr">
        <is>
          <t>ORSE</t>
        </is>
      </c>
      <c r="D40" s="16" t="inlineStr">
        <is>
          <t>Haste cobreada copperweld p/aterramento d=  5/8" x 2,40m</t>
        </is>
      </c>
      <c r="E40" s="16" t="inlineStr">
        <is>
          <t>Conversão InfoWOrca</t>
        </is>
      </c>
      <c r="F40" s="17" t="inlineStr">
        <is>
          <t>un</t>
        </is>
      </c>
      <c r="G40" s="18" t="n">
        <v>3.0</v>
      </c>
      <c r="H40" s="19" t="n">
        <v>39.96</v>
      </c>
      <c r="I40" s="19" t="n">
        <v>49.89</v>
      </c>
      <c r="J40" s="19" t="n">
        <v>30.9</v>
      </c>
      <c r="K40" s="19" t="n">
        <v>20.65</v>
      </c>
      <c r="L40" s="19" t="str">
        <f>149.67</f>
      </c>
      <c r="M40" s="20" t="n">
        <v>2.5729707094162797e-05</v>
      </c>
    </row>
    <row customHeight="1" ht="24" r="41">
      <c r="A41" s="16" t="inlineStr">
        <is>
          <t> 3.1.1.15 </t>
        </is>
      </c>
      <c r="B41" s="18" t="inlineStr">
        <is>
          <t> 101554 </t>
        </is>
      </c>
      <c r="C41" s="16" t="inlineStr">
        <is>
          <t>SINAPI</t>
        </is>
      </c>
      <c r="D41" s="16" t="inlineStr">
        <is>
          <t>ALÇA PREFORMADA DE DISTRIBUIÇÃO, EM  AÇO GALVANIZADO, AWG 2 - FORNECIMENTO E INSTALAÇÃO. AF_07/2020</t>
        </is>
      </c>
      <c r="E41" s="16" t="inlineStr">
        <is>
          <t>INEL - INSTALAÇÃO ELÉTRICA/ELETRIFICAÇÃO E ILUMINAÇÃO EXTERNA</t>
        </is>
      </c>
      <c r="F41" s="17" t="inlineStr">
        <is>
          <t>UN</t>
        </is>
      </c>
      <c r="G41" s="18" t="n">
        <v>3.0</v>
      </c>
      <c r="H41" s="19" t="n">
        <v>11.09</v>
      </c>
      <c r="I41" s="19" t="n">
        <v>13.84</v>
      </c>
      <c r="J41" s="19" t="n">
        <v>10.26</v>
      </c>
      <c r="K41" s="19" t="n">
        <v>24.71</v>
      </c>
      <c r="L41" s="19" t="str">
        <f>41.52</f>
      </c>
      <c r="M41" s="20" t="n">
        <v>7.137685832495753e-06</v>
      </c>
    </row>
    <row customHeight="1" ht="24" r="42">
      <c r="A42" s="44" t="inlineStr">
        <is>
          <t> 3.1.1.16 </t>
        </is>
      </c>
      <c r="B42" s="46" t="inlineStr">
        <is>
          <t> 00025002 </t>
        </is>
      </c>
      <c r="C42" s="44" t="inlineStr">
        <is>
          <t>SINAPI</t>
        </is>
      </c>
      <c r="D42" s="44" t="inlineStr">
        <is>
          <t>CABO DE ALUMINIO NU COM ALMA DE ACO, BITOLA 2 AWG</t>
        </is>
      </c>
      <c r="E42" s="44" t="inlineStr">
        <is>
          <t>Material</t>
        </is>
      </c>
      <c r="F42" s="45" t="inlineStr">
        <is>
          <t>KG</t>
        </is>
      </c>
      <c r="G42" s="46" t="n">
        <v>6.0</v>
      </c>
      <c r="H42" s="47" t="n">
        <v>30.39</v>
      </c>
      <c r="I42" s="47" t="n">
        <v>37.94</v>
      </c>
      <c r="J42" s="47" t="n">
        <v>0.0</v>
      </c>
      <c r="K42" s="47" t="n">
        <v>0.0</v>
      </c>
      <c r="L42" s="47" t="str">
        <f>227.64</f>
      </c>
      <c r="M42" s="48" t="n">
        <v>3.9133497179897234e-05</v>
      </c>
    </row>
    <row customHeight="1" ht="24" r="43">
      <c r="A43" s="44" t="inlineStr">
        <is>
          <t> 3.1.1.17 </t>
        </is>
      </c>
      <c r="B43" s="46" t="inlineStr">
        <is>
          <t> 3863 </t>
        </is>
      </c>
      <c r="C43" s="44" t="inlineStr">
        <is>
          <t>ORSE</t>
        </is>
      </c>
      <c r="D43" s="44" t="inlineStr">
        <is>
          <t>Conector ampact para cabo 35mm2 CADC 405 (ou similar)</t>
        </is>
      </c>
      <c r="E43" s="44" t="inlineStr">
        <is>
          <t>Material</t>
        </is>
      </c>
      <c r="F43" s="45" t="inlineStr">
        <is>
          <t>un</t>
        </is>
      </c>
      <c r="G43" s="46" t="n">
        <v>6.0</v>
      </c>
      <c r="H43" s="47" t="n">
        <v>21.39</v>
      </c>
      <c r="I43" s="47" t="n">
        <v>26.7</v>
      </c>
      <c r="J43" s="47" t="n">
        <v>0.0</v>
      </c>
      <c r="K43" s="47" t="n">
        <v>0.0</v>
      </c>
      <c r="L43" s="47" t="str">
        <f>160.2</f>
      </c>
      <c r="M43" s="48" t="n">
        <v>2.753991498954286e-05</v>
      </c>
    </row>
    <row customHeight="1" ht="24" r="44">
      <c r="A44" s="16" t="inlineStr">
        <is>
          <t> 3.1.1.18 </t>
        </is>
      </c>
      <c r="B44" s="18" t="inlineStr">
        <is>
          <t> 3338 </t>
        </is>
      </c>
      <c r="C44" s="16" t="inlineStr">
        <is>
          <t>ORSE</t>
        </is>
      </c>
      <c r="D44" s="16" t="inlineStr">
        <is>
          <t>Fornecimento de conector estribo para condutor 4 e 2 (222)</t>
        </is>
      </c>
      <c r="E44" s="16" t="inlineStr">
        <is>
          <t>Conversão InfoWOrca</t>
        </is>
      </c>
      <c r="F44" s="17" t="inlineStr">
        <is>
          <t>un</t>
        </is>
      </c>
      <c r="G44" s="18" t="n">
        <v>3.0</v>
      </c>
      <c r="H44" s="19" t="n">
        <v>21.99</v>
      </c>
      <c r="I44" s="19" t="n">
        <v>27.45</v>
      </c>
      <c r="J44" s="19" t="n">
        <v>0.0</v>
      </c>
      <c r="K44" s="19" t="n">
        <v>0.0</v>
      </c>
      <c r="L44" s="19" t="str">
        <f>82.35</f>
      </c>
      <c r="M44" s="20" t="n">
        <v>1.4156754053613324e-05</v>
      </c>
    </row>
    <row customHeight="1" ht="24" r="45">
      <c r="A45" s="16" t="inlineStr">
        <is>
          <t> 3.1.1.19 </t>
        </is>
      </c>
      <c r="B45" s="18" t="inlineStr">
        <is>
          <t> 4135 </t>
        </is>
      </c>
      <c r="C45" s="16" t="inlineStr">
        <is>
          <t>ORSE</t>
        </is>
      </c>
      <c r="D45" s="16" t="inlineStr">
        <is>
          <t>Gancho suspensão com olhal, fornecimento</t>
        </is>
      </c>
      <c r="E45" s="16" t="inlineStr">
        <is>
          <t>Entrada em Baixa Tensão</t>
        </is>
      </c>
      <c r="F45" s="17" t="inlineStr">
        <is>
          <t>un</t>
        </is>
      </c>
      <c r="G45" s="18" t="n">
        <v>6.0</v>
      </c>
      <c r="H45" s="19" t="n">
        <v>15.91</v>
      </c>
      <c r="I45" s="19" t="n">
        <v>19.86</v>
      </c>
      <c r="J45" s="19" t="n">
        <v>0.0</v>
      </c>
      <c r="K45" s="19" t="n">
        <v>0.0</v>
      </c>
      <c r="L45" s="19" t="str">
        <f>119.16</f>
      </c>
      <c r="M45" s="20" t="n">
        <v>2.0484745756266713e-05</v>
      </c>
    </row>
    <row customHeight="1" ht="24" r="46">
      <c r="A46" s="16" t="inlineStr">
        <is>
          <t> 3.1.1.20 </t>
        </is>
      </c>
      <c r="B46" s="18" t="inlineStr">
        <is>
          <t> 2885 </t>
        </is>
      </c>
      <c r="C46" s="16" t="inlineStr">
        <is>
          <t>ORSE</t>
        </is>
      </c>
      <c r="D46" s="16" t="inlineStr">
        <is>
          <t>Fornecimento de grampo de linha viva 6 a 250 mcm, ramal 8 a 2/0 awg</t>
        </is>
      </c>
      <c r="E46" s="16" t="inlineStr">
        <is>
          <t>Fornecimento de Materiais para Redes de Energia Elétrica e Iluminação</t>
        </is>
      </c>
      <c r="F46" s="17" t="inlineStr">
        <is>
          <t>un</t>
        </is>
      </c>
      <c r="G46" s="18" t="n">
        <v>3.0</v>
      </c>
      <c r="H46" s="19" t="n">
        <v>13.18</v>
      </c>
      <c r="I46" s="19" t="n">
        <v>16.45</v>
      </c>
      <c r="J46" s="19" t="n">
        <v>0.0</v>
      </c>
      <c r="K46" s="19" t="n">
        <v>0.0</v>
      </c>
      <c r="L46" s="19" t="str">
        <f>49.35</f>
      </c>
      <c r="M46" s="20" t="n">
        <v>8.483737857265543e-06</v>
      </c>
    </row>
    <row customHeight="1" ht="24" r="47">
      <c r="A47" s="16" t="inlineStr">
        <is>
          <t> 3.1.1.21 </t>
        </is>
      </c>
      <c r="B47" s="18" t="inlineStr">
        <is>
          <t> 73781/002 </t>
        </is>
      </c>
      <c r="C47" s="16" t="inlineStr">
        <is>
          <t>SINAPI</t>
        </is>
      </c>
      <c r="D47" s="16" t="inlineStr">
        <is>
          <t>ISOLADOR DE PINO TP HI-POT CILINDRICO CLASSE 15KV. FORNECIMENTO E INSTALACAO.</t>
        </is>
      </c>
      <c r="E47" s="16" t="inlineStr">
        <is>
          <t>INEL - INSTALAÇÃO ELÉTRICA/ELETRIFICAÇÃO E ILUMINAÇÃO EXTERNA</t>
        </is>
      </c>
      <c r="F47" s="17" t="inlineStr">
        <is>
          <t>UN</t>
        </is>
      </c>
      <c r="G47" s="18" t="n">
        <v>3.0</v>
      </c>
      <c r="H47" s="19" t="n">
        <v>34.55</v>
      </c>
      <c r="I47" s="19" t="n">
        <v>43.13</v>
      </c>
      <c r="J47" s="19" t="n">
        <v>21.12</v>
      </c>
      <c r="K47" s="19" t="n">
        <v>16.32</v>
      </c>
      <c r="L47" s="19" t="str">
        <f>129.39</f>
      </c>
      <c r="M47" s="20" t="n">
        <v>2.2243380777134524e-05</v>
      </c>
    </row>
    <row customHeight="1" ht="24" r="48">
      <c r="A48" s="16" t="inlineStr">
        <is>
          <t> 3.1.1.22 </t>
        </is>
      </c>
      <c r="B48" s="18" t="inlineStr">
        <is>
          <t> 2899 </t>
        </is>
      </c>
      <c r="C48" s="16" t="inlineStr">
        <is>
          <t>ORSE</t>
        </is>
      </c>
      <c r="D48" s="16" t="inlineStr">
        <is>
          <t>Fornecimento de manilha sapatilha em ferro nodular galvanizado</t>
        </is>
      </c>
      <c r="E48" s="16" t="inlineStr">
        <is>
          <t>Fornecimento de Materiais para Redes de Energia Elétrica e Iluminação</t>
        </is>
      </c>
      <c r="F48" s="17" t="inlineStr">
        <is>
          <t>un</t>
        </is>
      </c>
      <c r="G48" s="18" t="n">
        <v>6.0</v>
      </c>
      <c r="H48" s="19" t="n">
        <v>20.85</v>
      </c>
      <c r="I48" s="19" t="n">
        <v>26.03</v>
      </c>
      <c r="J48" s="19" t="n">
        <v>0.0</v>
      </c>
      <c r="K48" s="19" t="n">
        <v>0.0</v>
      </c>
      <c r="L48" s="19" t="str">
        <f>156.18</f>
      </c>
      <c r="M48" s="20" t="n">
        <v>2.6848838471078675e-05</v>
      </c>
    </row>
    <row customHeight="1" ht="24" r="49">
      <c r="A49" s="44" t="inlineStr">
        <is>
          <t> 3.1.1.23 </t>
        </is>
      </c>
      <c r="B49" s="46" t="inlineStr">
        <is>
          <t> 00000421 </t>
        </is>
      </c>
      <c r="C49" s="44" t="inlineStr">
        <is>
          <t>SINAPI</t>
        </is>
      </c>
      <c r="D49" s="44" t="inlineStr">
        <is>
          <t>PORCA OLHAL EM ACO GALVANIZADO, DIAMETRO NOMINAL DE 16 MM</t>
        </is>
      </c>
      <c r="E49" s="44" t="inlineStr">
        <is>
          <t>Material</t>
        </is>
      </c>
      <c r="F49" s="45" t="inlineStr">
        <is>
          <t>UN</t>
        </is>
      </c>
      <c r="G49" s="46" t="n">
        <v>6.0</v>
      </c>
      <c r="H49" s="47" t="n">
        <v>12.98</v>
      </c>
      <c r="I49" s="47" t="n">
        <v>16.2</v>
      </c>
      <c r="J49" s="47" t="n">
        <v>0.0</v>
      </c>
      <c r="K49" s="47" t="n">
        <v>0.0</v>
      </c>
      <c r="L49" s="47" t="str">
        <f>97.2</f>
      </c>
      <c r="M49" s="48" t="n">
        <v>1.6709611341969827e-05</v>
      </c>
    </row>
    <row customHeight="1" ht="24" r="50">
      <c r="A50" s="16" t="inlineStr">
        <is>
          <t> 3.1.1.24 </t>
        </is>
      </c>
      <c r="B50" s="18" t="inlineStr">
        <is>
          <t> 2926 </t>
        </is>
      </c>
      <c r="C50" s="16" t="inlineStr">
        <is>
          <t>ORSE</t>
        </is>
      </c>
      <c r="D50" s="16" t="inlineStr">
        <is>
          <t>Fornecimento de parafuso rosca dupla 16 x 450mm</t>
        </is>
      </c>
      <c r="E50" s="16" t="inlineStr">
        <is>
          <t>Fornecimento de Materiais para Redes de Energia Elétrica e Iluminação</t>
        </is>
      </c>
      <c r="F50" s="17" t="inlineStr">
        <is>
          <t>un</t>
        </is>
      </c>
      <c r="G50" s="18" t="n">
        <v>6.0</v>
      </c>
      <c r="H50" s="19" t="n">
        <v>19.76</v>
      </c>
      <c r="I50" s="19" t="n">
        <v>24.67</v>
      </c>
      <c r="J50" s="19" t="n">
        <v>0.0</v>
      </c>
      <c r="K50" s="19" t="n">
        <v>0.0</v>
      </c>
      <c r="L50" s="19" t="str">
        <f>148.02</f>
      </c>
      <c r="M50" s="20" t="n">
        <v>2.5446056284345406e-05</v>
      </c>
    </row>
    <row customHeight="1" ht="24" r="51">
      <c r="A51" s="16" t="inlineStr">
        <is>
          <t> 3.1.1.25 </t>
        </is>
      </c>
      <c r="B51" s="18" t="inlineStr">
        <is>
          <t> 2922 </t>
        </is>
      </c>
      <c r="C51" s="16" t="inlineStr">
        <is>
          <t>ORSE</t>
        </is>
      </c>
      <c r="D51" s="16" t="inlineStr">
        <is>
          <t>Fornecimento de parafuso rosca dupla 16 x 250mm</t>
        </is>
      </c>
      <c r="E51" s="16" t="inlineStr">
        <is>
          <t>Fornecimento de Materiais para Redes de Energia Elétrica e Iluminação</t>
        </is>
      </c>
      <c r="F51" s="17" t="inlineStr">
        <is>
          <t>un</t>
        </is>
      </c>
      <c r="G51" s="18" t="n">
        <v>4.0</v>
      </c>
      <c r="H51" s="19" t="n">
        <v>20.55</v>
      </c>
      <c r="I51" s="19" t="n">
        <v>25.65</v>
      </c>
      <c r="J51" s="19" t="n">
        <v>0.0</v>
      </c>
      <c r="K51" s="19" t="n">
        <v>0.0</v>
      </c>
      <c r="L51" s="19" t="str">
        <f>102.6</f>
      </c>
      <c r="M51" s="20" t="n">
        <v>1.763792308319037e-05</v>
      </c>
    </row>
    <row customHeight="1" ht="24" r="52">
      <c r="A52" s="16" t="inlineStr">
        <is>
          <t> 3.1.1.26 </t>
        </is>
      </c>
      <c r="B52" s="18" t="inlineStr">
        <is>
          <t> 2923 </t>
        </is>
      </c>
      <c r="C52" s="16" t="inlineStr">
        <is>
          <t>ORSE</t>
        </is>
      </c>
      <c r="D52" s="16" t="inlineStr">
        <is>
          <t>Fornecimento de parafuso rosca dupla 16 x 300mm</t>
        </is>
      </c>
      <c r="E52" s="16" t="inlineStr">
        <is>
          <t>Fornecimento de Materiais para Redes de Energia Elétrica e Iluminação</t>
        </is>
      </c>
      <c r="F52" s="17" t="inlineStr">
        <is>
          <t>un</t>
        </is>
      </c>
      <c r="G52" s="18" t="n">
        <v>4.0</v>
      </c>
      <c r="H52" s="19" t="n">
        <v>13.18</v>
      </c>
      <c r="I52" s="19" t="n">
        <v>16.45</v>
      </c>
      <c r="J52" s="19" t="n">
        <v>0.0</v>
      </c>
      <c r="K52" s="19" t="n">
        <v>0.0</v>
      </c>
      <c r="L52" s="19" t="str">
        <f>65.8</f>
      </c>
      <c r="M52" s="20" t="n">
        <v>1.1311650476354059e-05</v>
      </c>
    </row>
    <row customHeight="1" ht="24" r="53">
      <c r="A53" s="16" t="inlineStr">
        <is>
          <t> 3.1.1.27 </t>
        </is>
      </c>
      <c r="B53" s="18" t="inlineStr">
        <is>
          <t> 091718 </t>
        </is>
      </c>
      <c r="C53" s="16" t="inlineStr">
        <is>
          <t>SIURB</t>
        </is>
      </c>
      <c r="D53" s="16" t="inlineStr">
        <is>
          <t>PARA-RAIO TIPO POLIMERICO CLASSE 15KV</t>
        </is>
      </c>
      <c r="E53" s="16" t="inlineStr">
        <is>
          <t>Edificações</t>
        </is>
      </c>
      <c r="F53" s="17" t="inlineStr">
        <is>
          <t>UN</t>
        </is>
      </c>
      <c r="G53" s="18" t="n">
        <v>3.0</v>
      </c>
      <c r="H53" s="19" t="n">
        <v>247.63</v>
      </c>
      <c r="I53" s="19" t="n">
        <v>309.19</v>
      </c>
      <c r="J53" s="19" t="n">
        <v>245.76</v>
      </c>
      <c r="K53" s="19" t="n">
        <v>26.5</v>
      </c>
      <c r="L53" s="19" t="str">
        <f>927.57</f>
      </c>
      <c r="M53" s="20" t="n">
        <v>0.00015945817070443365</v>
      </c>
    </row>
    <row customHeight="1" ht="24" r="54">
      <c r="A54" s="44" t="inlineStr">
        <is>
          <t> 3.1.1.28 </t>
        </is>
      </c>
      <c r="B54" s="46" t="inlineStr">
        <is>
          <t> 047770 </t>
        </is>
      </c>
      <c r="C54" s="44" t="inlineStr">
        <is>
          <t>SBC</t>
        </is>
      </c>
      <c r="D54" s="44" t="inlineStr">
        <is>
          <t>PINO ACO CARBONO PARA ISOLADOR 15KV</t>
        </is>
      </c>
      <c r="E54" s="44" t="inlineStr">
        <is>
          <t>Material</t>
        </is>
      </c>
      <c r="F54" s="45" t="inlineStr">
        <is>
          <t>UN</t>
        </is>
      </c>
      <c r="G54" s="46" t="n">
        <v>3.0</v>
      </c>
      <c r="H54" s="47" t="n">
        <v>30.56</v>
      </c>
      <c r="I54" s="47" t="n">
        <v>38.15</v>
      </c>
      <c r="J54" s="47" t="n">
        <v>0.0</v>
      </c>
      <c r="K54" s="47" t="n">
        <v>0.0</v>
      </c>
      <c r="L54" s="47" t="str">
        <f>114.45</f>
      </c>
      <c r="M54" s="48" t="n">
        <v>1.9675051626424348e-05</v>
      </c>
    </row>
    <row customHeight="1" ht="24" r="55">
      <c r="A55" s="44" t="inlineStr">
        <is>
          <t> 3.1.1.29 </t>
        </is>
      </c>
      <c r="B55" s="46" t="inlineStr">
        <is>
          <t> 6497 </t>
        </is>
      </c>
      <c r="C55" s="44" t="inlineStr">
        <is>
          <t>ORSE</t>
        </is>
      </c>
      <c r="D55" s="44" t="inlineStr">
        <is>
          <t>Presilha 3/4"</t>
        </is>
      </c>
      <c r="E55" s="44" t="inlineStr">
        <is>
          <t>Material</t>
        </is>
      </c>
      <c r="F55" s="45" t="inlineStr">
        <is>
          <t>un</t>
        </is>
      </c>
      <c r="G55" s="46" t="n">
        <v>12.0</v>
      </c>
      <c r="H55" s="47" t="n">
        <v>3.39</v>
      </c>
      <c r="I55" s="47" t="n">
        <v>4.23</v>
      </c>
      <c r="J55" s="47" t="n">
        <v>0.0</v>
      </c>
      <c r="K55" s="47" t="n">
        <v>0.0</v>
      </c>
      <c r="L55" s="47" t="str">
        <f>50.76</f>
      </c>
      <c r="M55" s="48" t="n">
        <v>8.726130367473131e-06</v>
      </c>
    </row>
    <row customHeight="1" ht="24" r="56">
      <c r="A56" s="16" t="inlineStr">
        <is>
          <t> 3.1.1.30 </t>
        </is>
      </c>
      <c r="B56" s="18" t="inlineStr">
        <is>
          <t> 36.06.060 </t>
        </is>
      </c>
      <c r="C56" s="16" t="inlineStr">
        <is>
          <t>CPOS</t>
        </is>
      </c>
      <c r="D56" s="16" t="inlineStr">
        <is>
          <t>Terminal modular (mufla) unipolar externo para cabo até 70 mm²/15 kV</t>
        </is>
      </c>
      <c r="E56" s="16" t="n">
        <v>36.06</v>
      </c>
      <c r="F56" s="17" t="inlineStr">
        <is>
          <t>cj</t>
        </is>
      </c>
      <c r="G56" s="18" t="n">
        <v>4.0</v>
      </c>
      <c r="H56" s="19" t="n">
        <v>497.15</v>
      </c>
      <c r="I56" s="19" t="n">
        <v>620.74</v>
      </c>
      <c r="J56" s="19" t="n">
        <v>104.6</v>
      </c>
      <c r="K56" s="19" t="n">
        <v>4.21</v>
      </c>
      <c r="L56" s="19" t="str">
        <f>2482.96</f>
      </c>
      <c r="M56" s="20" t="n">
        <v>0.0004268446149964753</v>
      </c>
    </row>
    <row customHeight="1" ht="24" r="57">
      <c r="A57" s="44" t="inlineStr">
        <is>
          <t> 3.1.1.31 </t>
        </is>
      </c>
      <c r="B57" s="46" t="inlineStr">
        <is>
          <t> M109600105 </t>
        </is>
      </c>
      <c r="C57" s="44" t="inlineStr">
        <is>
          <t>EMBASA</t>
        </is>
      </c>
      <c r="D57" s="44" t="inlineStr">
        <is>
          <t>ISOLADOR DE SUSPENSAO 15 KV, 175mm</t>
        </is>
      </c>
      <c r="E57" s="44" t="inlineStr">
        <is>
          <t>Material</t>
        </is>
      </c>
      <c r="F57" s="45" t="inlineStr">
        <is>
          <t>PC</t>
        </is>
      </c>
      <c r="G57" s="46" t="n">
        <v>6.0</v>
      </c>
      <c r="H57" s="47" t="n">
        <v>114.43</v>
      </c>
      <c r="I57" s="47" t="n">
        <v>142.87</v>
      </c>
      <c r="J57" s="47" t="n">
        <v>0.0</v>
      </c>
      <c r="K57" s="47" t="n">
        <v>0.0</v>
      </c>
      <c r="L57" s="47" t="str">
        <f>857.22</f>
      </c>
      <c r="M57" s="48" t="n">
        <v>0.00014736433163131042</v>
      </c>
    </row>
    <row customHeight="1" ht="24" r="58">
      <c r="A58" s="16" t="inlineStr">
        <is>
          <t> 3.1.1.32 </t>
        </is>
      </c>
      <c r="B58" s="18" t="inlineStr">
        <is>
          <t> 057315 </t>
        </is>
      </c>
      <c r="C58" s="16" t="inlineStr">
        <is>
          <t>SBC</t>
        </is>
      </c>
      <c r="D58" s="16" t="inlineStr">
        <is>
          <t>CAIXA INSPECAO 150x100x120cm TAMPAO FERRO FUNDIDO 175kg</t>
        </is>
      </c>
      <c r="E58" s="16" t="n">
        <v>57</v>
      </c>
      <c r="F58" s="17" t="inlineStr">
        <is>
          <t>UN</t>
        </is>
      </c>
      <c r="G58" s="18" t="n">
        <v>1.0</v>
      </c>
      <c r="H58" s="19" t="n">
        <v>2240.4</v>
      </c>
      <c r="I58" s="19" t="n">
        <v>2797.36</v>
      </c>
      <c r="J58" s="19" t="n">
        <v>842.84</v>
      </c>
      <c r="K58" s="19" t="n">
        <v>30.13</v>
      </c>
      <c r="L58" s="19" t="str">
        <f>2797.36</f>
      </c>
      <c r="M58" s="20" t="n">
        <v>0.000480892987485316</v>
      </c>
    </row>
    <row customHeight="1" ht="24" r="59">
      <c r="A59" s="8" t="inlineStr">
        <is>
          <t> 3.1.2 </t>
        </is>
      </c>
      <c r="B59" s="8"/>
      <c r="C59" s="8"/>
      <c r="D59" s="8" t="inlineStr">
        <is>
          <t>Subestação</t>
        </is>
      </c>
      <c r="E59" s="8"/>
      <c r="F59" s="8"/>
      <c r="G59" s="10"/>
      <c r="H59" s="8"/>
      <c r="I59" s="8"/>
      <c r="J59" s="8"/>
      <c r="K59" s="8"/>
      <c r="L59" s="11" t="n">
        <v>239652.81</v>
      </c>
      <c r="M59" s="12" t="n">
        <v>0.041198614322129005</v>
      </c>
    </row>
    <row customHeight="1" ht="24" r="60">
      <c r="A60" s="16" t="inlineStr">
        <is>
          <t> 3.1.2.1 </t>
        </is>
      </c>
      <c r="B60" s="18" t="inlineStr">
        <is>
          <t> 9427 </t>
        </is>
      </c>
      <c r="C60" s="16" t="inlineStr">
        <is>
          <t>ORSE</t>
        </is>
      </c>
      <c r="D60" s="16" t="inlineStr">
        <is>
          <t>Abraçadeira metálica tipo "D" de 1 1/2"</t>
        </is>
      </c>
      <c r="E60" s="16" t="inlineStr">
        <is>
          <t>Tubos e Conexões de PVC Rígido Soldável</t>
        </is>
      </c>
      <c r="F60" s="17" t="inlineStr">
        <is>
          <t>un</t>
        </is>
      </c>
      <c r="G60" s="18" t="n">
        <v>4.0</v>
      </c>
      <c r="H60" s="19" t="n">
        <v>6.05</v>
      </c>
      <c r="I60" s="19" t="n">
        <v>7.55</v>
      </c>
      <c r="J60" s="19" t="n">
        <v>13.72</v>
      </c>
      <c r="K60" s="19" t="n">
        <v>45.43</v>
      </c>
      <c r="L60" s="19" t="str">
        <f>30.2</f>
      </c>
      <c r="M60" s="20" t="n">
        <v>5.191669367566757e-06</v>
      </c>
    </row>
    <row customHeight="1" ht="24" r="61">
      <c r="A61" s="16" t="inlineStr">
        <is>
          <t> 3.1.2.2 </t>
        </is>
      </c>
      <c r="B61" s="18" t="inlineStr">
        <is>
          <t> 9975 </t>
        </is>
      </c>
      <c r="C61" s="16" t="inlineStr">
        <is>
          <t>ORSE</t>
        </is>
      </c>
      <c r="D61" s="16" t="inlineStr">
        <is>
          <t>Abraçadeira metálica tipo "D" de 1/2"</t>
        </is>
      </c>
      <c r="E61" s="16" t="inlineStr">
        <is>
          <t>Tubos e Conexões de PVC Rígido Soldável</t>
        </is>
      </c>
      <c r="F61" s="17" t="inlineStr">
        <is>
          <t>un</t>
        </is>
      </c>
      <c r="G61" s="18" t="n">
        <v>16.0</v>
      </c>
      <c r="H61" s="19" t="n">
        <v>5.11</v>
      </c>
      <c r="I61" s="19" t="n">
        <v>6.38</v>
      </c>
      <c r="J61" s="19" t="n">
        <v>54.88</v>
      </c>
      <c r="K61" s="19" t="n">
        <v>53.76</v>
      </c>
      <c r="L61" s="19" t="str">
        <f>102.08</f>
      </c>
      <c r="M61" s="20" t="n">
        <v>1.7548530100702468e-05</v>
      </c>
    </row>
    <row customHeight="1" ht="24" r="62">
      <c r="A62" s="44" t="inlineStr">
        <is>
          <t> 3.1.2.3 </t>
        </is>
      </c>
      <c r="B62" s="46" t="inlineStr">
        <is>
          <t> 00000344 </t>
        </is>
      </c>
      <c r="C62" s="44" t="inlineStr">
        <is>
          <t>SINAPI</t>
        </is>
      </c>
      <c r="D62" s="44" t="inlineStr">
        <is>
          <t>ARAME GALVANIZADO 16 BWG, D = 1,65MM (0,0166 KG/M)</t>
        </is>
      </c>
      <c r="E62" s="44" t="inlineStr">
        <is>
          <t>Material</t>
        </is>
      </c>
      <c r="F62" s="45" t="inlineStr">
        <is>
          <t>KG</t>
        </is>
      </c>
      <c r="G62" s="46" t="n">
        <v>6.0</v>
      </c>
      <c r="H62" s="47" t="n">
        <v>32.86</v>
      </c>
      <c r="I62" s="47" t="n">
        <v>41.02</v>
      </c>
      <c r="J62" s="47" t="n">
        <v>0.0</v>
      </c>
      <c r="K62" s="47" t="n">
        <v>0.0</v>
      </c>
      <c r="L62" s="47" t="str">
        <f>246.12</f>
      </c>
      <c r="M62" s="48" t="n">
        <v>4.231038624985199e-05</v>
      </c>
    </row>
    <row customHeight="1" ht="24" r="63">
      <c r="A63" s="16" t="inlineStr">
        <is>
          <t> 3.1.2.4 </t>
        </is>
      </c>
      <c r="B63" s="18" t="inlineStr">
        <is>
          <t> 9975 </t>
        </is>
      </c>
      <c r="C63" s="16" t="inlineStr">
        <is>
          <t>ORSE</t>
        </is>
      </c>
      <c r="D63" s="16" t="inlineStr">
        <is>
          <t>Abraçadeira metálica tipo "D" de 1/2"</t>
        </is>
      </c>
      <c r="E63" s="16" t="inlineStr">
        <is>
          <t>Tubos e Conexões de PVC Rígido Soldável</t>
        </is>
      </c>
      <c r="F63" s="17" t="inlineStr">
        <is>
          <t>un</t>
        </is>
      </c>
      <c r="G63" s="18" t="n">
        <v>16.0</v>
      </c>
      <c r="H63" s="19" t="n">
        <v>5.11</v>
      </c>
      <c r="I63" s="19" t="n">
        <v>6.38</v>
      </c>
      <c r="J63" s="19" t="n">
        <v>54.88</v>
      </c>
      <c r="K63" s="19" t="n">
        <v>53.76</v>
      </c>
      <c r="L63" s="19" t="str">
        <f>102.08</f>
      </c>
      <c r="M63" s="20" t="n">
        <v>1.7548530100702468e-05</v>
      </c>
    </row>
    <row customHeight="1" ht="24" r="64">
      <c r="A64" s="44" t="inlineStr">
        <is>
          <t> 3.1.2.5 </t>
        </is>
      </c>
      <c r="B64" s="46" t="inlineStr">
        <is>
          <t> 00039216 </t>
        </is>
      </c>
      <c r="C64" s="44" t="inlineStr">
        <is>
          <t>SINAPI</t>
        </is>
      </c>
      <c r="D64" s="44" t="inlineStr">
        <is>
          <t>ARRUELA EM ALUMINIO, COM ROSCA, DE 4", PARA ELETRODUTO</t>
        </is>
      </c>
      <c r="E64" s="44" t="inlineStr">
        <is>
          <t>Material</t>
        </is>
      </c>
      <c r="F64" s="45" t="inlineStr">
        <is>
          <t>UN</t>
        </is>
      </c>
      <c r="G64" s="46" t="n">
        <v>4.0</v>
      </c>
      <c r="H64" s="47" t="n">
        <v>7.73</v>
      </c>
      <c r="I64" s="47" t="n">
        <v>9.65</v>
      </c>
      <c r="J64" s="47" t="n">
        <v>0.0</v>
      </c>
      <c r="K64" s="47" t="n">
        <v>0.0</v>
      </c>
      <c r="L64" s="47" t="str">
        <f>38.6</f>
      </c>
      <c r="M64" s="48" t="n">
        <v>6.635709853909828e-06</v>
      </c>
    </row>
    <row customHeight="1" ht="24" r="65">
      <c r="A65" s="16" t="inlineStr">
        <is>
          <t> 3.1.2.6 </t>
        </is>
      </c>
      <c r="B65" s="18" t="inlineStr">
        <is>
          <t> 3271 </t>
        </is>
      </c>
      <c r="C65" s="16" t="inlineStr">
        <is>
          <t>ORSE</t>
        </is>
      </c>
      <c r="D65" s="16" t="inlineStr">
        <is>
          <t>Fornecimento de arruela galvanizada, quadrada, 18 x 38 mm</t>
        </is>
      </c>
      <c r="E65" s="16" t="inlineStr">
        <is>
          <t>Conversão InfoWOrca</t>
        </is>
      </c>
      <c r="F65" s="17" t="inlineStr">
        <is>
          <t>un</t>
        </is>
      </c>
      <c r="G65" s="18" t="n">
        <v>4.0</v>
      </c>
      <c r="H65" s="19" t="n">
        <v>0.88</v>
      </c>
      <c r="I65" s="19" t="n">
        <v>1.09</v>
      </c>
      <c r="J65" s="19" t="n">
        <v>0.0</v>
      </c>
      <c r="K65" s="19" t="n">
        <v>0.0</v>
      </c>
      <c r="L65" s="19" t="str">
        <f>4.36</f>
      </c>
      <c r="M65" s="20" t="n">
        <v>7.49525776244737e-07</v>
      </c>
    </row>
    <row customHeight="1" ht="24" r="66">
      <c r="A66" s="44" t="inlineStr">
        <is>
          <t> 3.1.2.7 </t>
        </is>
      </c>
      <c r="B66" s="46" t="inlineStr">
        <is>
          <t> I0285 </t>
        </is>
      </c>
      <c r="C66" s="44" t="inlineStr">
        <is>
          <t>SEINFRA</t>
        </is>
      </c>
      <c r="D66" s="44" t="inlineStr">
        <is>
          <t>BUCHA DE FERRO GALVANIZADO 1 1/2''</t>
        </is>
      </c>
      <c r="E66" s="44" t="inlineStr">
        <is>
          <t>Material</t>
        </is>
      </c>
      <c r="F66" s="45" t="inlineStr">
        <is>
          <t>UN</t>
        </is>
      </c>
      <c r="G66" s="46" t="n">
        <v>4.0</v>
      </c>
      <c r="H66" s="47" t="n">
        <v>1.06</v>
      </c>
      <c r="I66" s="47" t="n">
        <v>1.32</v>
      </c>
      <c r="J66" s="47" t="n">
        <v>0.0</v>
      </c>
      <c r="K66" s="47" t="n">
        <v>0.0</v>
      </c>
      <c r="L66" s="47" t="str">
        <f>5.28</f>
      </c>
      <c r="M66" s="48" t="n">
        <v>9.076825914156449e-07</v>
      </c>
    </row>
    <row customHeight="1" ht="36" r="67">
      <c r="A67" s="44" t="inlineStr">
        <is>
          <t> 3.1.2.8 </t>
        </is>
      </c>
      <c r="B67" s="46" t="inlineStr">
        <is>
          <t> 00007568 </t>
        </is>
      </c>
      <c r="C67" s="44" t="inlineStr">
        <is>
          <t>SINAPI</t>
        </is>
      </c>
      <c r="D67" s="44" t="inlineStr">
        <is>
          <t>BUCHA DE NYLON SEM ABA S10, COM PARAFUSO DE 6,10 X 65 MM EM ACO ZINCADO COM ROSCA SOBERBA, CABECA CHATA E FENDA PHILLIPS</t>
        </is>
      </c>
      <c r="E67" s="44" t="inlineStr">
        <is>
          <t>Material</t>
        </is>
      </c>
      <c r="F67" s="45" t="inlineStr">
        <is>
          <t>UN</t>
        </is>
      </c>
      <c r="G67" s="46" t="n">
        <v>10.0</v>
      </c>
      <c r="H67" s="47" t="n">
        <v>0.79</v>
      </c>
      <c r="I67" s="47" t="n">
        <v>0.98</v>
      </c>
      <c r="J67" s="47" t="n">
        <v>0.0</v>
      </c>
      <c r="K67" s="47" t="n">
        <v>0.0</v>
      </c>
      <c r="L67" s="47" t="str">
        <f>9.8</f>
      </c>
      <c r="M67" s="48" t="n">
        <v>1.6847139007335832e-06</v>
      </c>
    </row>
    <row customHeight="1" ht="36" r="68">
      <c r="A68" s="44" t="inlineStr">
        <is>
          <t> 3.1.2.9 </t>
        </is>
      </c>
      <c r="B68" s="46" t="inlineStr">
        <is>
          <t> 00011950 </t>
        </is>
      </c>
      <c r="C68" s="44" t="inlineStr">
        <is>
          <t>SINAPI</t>
        </is>
      </c>
      <c r="D68" s="44" t="inlineStr">
        <is>
          <t>BUCHA DE NYLON SEM ABA S6, COM PARAFUSO DE 4,20 X 40 MM EM ACO ZINCADO COM ROSCA SOBERBA, CABECA CHATA E FENDA PHILLIPS</t>
        </is>
      </c>
      <c r="E68" s="44" t="inlineStr">
        <is>
          <t>Material</t>
        </is>
      </c>
      <c r="F68" s="45" t="inlineStr">
        <is>
          <t>UN</t>
        </is>
      </c>
      <c r="G68" s="46" t="n">
        <v>4.0</v>
      </c>
      <c r="H68" s="47" t="n">
        <v>0.26</v>
      </c>
      <c r="I68" s="47" t="n">
        <v>0.32</v>
      </c>
      <c r="J68" s="47" t="n">
        <v>0.0</v>
      </c>
      <c r="K68" s="47" t="n">
        <v>0.0</v>
      </c>
      <c r="L68" s="47" t="str">
        <f>1.28</f>
      </c>
      <c r="M68" s="48" t="n">
        <v>2.2004426458561088e-07</v>
      </c>
    </row>
    <row customHeight="1" ht="36" r="69">
      <c r="A69" s="44" t="inlineStr">
        <is>
          <t> 3.1.2.10 </t>
        </is>
      </c>
      <c r="B69" s="46" t="inlineStr">
        <is>
          <t> 00007583 </t>
        </is>
      </c>
      <c r="C69" s="44" t="inlineStr">
        <is>
          <t>SINAPI</t>
        </is>
      </c>
      <c r="D69" s="44" t="inlineStr">
        <is>
          <t>BUCHA DE NYLON SEM ABA S8, COM PARAFUSO DE 4,80 X 50 MM EM ACO ZINCADO COM ROSCA SOBERBA, CABECA CHATA E FENDA PHILLIPS</t>
        </is>
      </c>
      <c r="E69" s="44" t="inlineStr">
        <is>
          <t>Material</t>
        </is>
      </c>
      <c r="F69" s="45" t="inlineStr">
        <is>
          <t>UN</t>
        </is>
      </c>
      <c r="G69" s="46" t="n">
        <v>6.0</v>
      </c>
      <c r="H69" s="47" t="n">
        <v>0.54</v>
      </c>
      <c r="I69" s="47" t="n">
        <v>0.67</v>
      </c>
      <c r="J69" s="47" t="n">
        <v>0.0</v>
      </c>
      <c r="K69" s="47" t="n">
        <v>0.0</v>
      </c>
      <c r="L69" s="47" t="str">
        <f>4.02</f>
      </c>
      <c r="M69" s="48" t="n">
        <v>6.910765184641841e-07</v>
      </c>
    </row>
    <row customHeight="1" ht="36" r="70">
      <c r="A70" s="16" t="inlineStr">
        <is>
          <t> 3.1.2.11 </t>
        </is>
      </c>
      <c r="B70" s="18" t="inlineStr">
        <is>
          <t> 91925 </t>
        </is>
      </c>
      <c r="C70" s="16" t="inlineStr">
        <is>
          <t>SINAPI</t>
        </is>
      </c>
      <c r="D70" s="16" t="inlineStr">
        <is>
          <t>CABO DE COBRE FLEXÍVEL ISOLADO, 1,5 MM², ANTI-CHAMA 0,6/1,0 KV, PARA CIRCUITOS TERMINAIS - FORNECIMENTO E INSTALAÇÃO. AF_12/2015</t>
        </is>
      </c>
      <c r="E70" s="16" t="inlineStr">
        <is>
          <t>INEL - INSTALAÇÃO ELÉTRICA/ELETRIFICAÇÃO E ILUMINAÇÃO EXTERNA</t>
        </is>
      </c>
      <c r="F70" s="17" t="inlineStr">
        <is>
          <t>M</t>
        </is>
      </c>
      <c r="G70" s="18" t="n">
        <v>60.0</v>
      </c>
      <c r="H70" s="19" t="n">
        <v>3.71</v>
      </c>
      <c r="I70" s="19" t="n">
        <v>4.63</v>
      </c>
      <c r="J70" s="19" t="n">
        <v>49.2</v>
      </c>
      <c r="K70" s="19" t="n">
        <v>17.71</v>
      </c>
      <c r="L70" s="19" t="str">
        <f>277.8</f>
      </c>
      <c r="M70" s="20" t="n">
        <v>4.7756481798345857e-05</v>
      </c>
    </row>
    <row customHeight="1" ht="24" r="71">
      <c r="A71" s="16" t="inlineStr">
        <is>
          <t> 3.1.2.12 </t>
        </is>
      </c>
      <c r="B71" s="18" t="inlineStr">
        <is>
          <t> 72254 </t>
        </is>
      </c>
      <c r="C71" s="16" t="inlineStr">
        <is>
          <t>SINAPI</t>
        </is>
      </c>
      <c r="D71" s="16" t="inlineStr">
        <is>
          <t>CABO DE COBRE NU 50MM2 - FORNECIMENTO E INSTALACAO</t>
        </is>
      </c>
      <c r="E71" s="16" t="inlineStr">
        <is>
          <t>INEL - INSTALAÇÃO ELÉTRICA/ELETRIFICAÇÃO E ILUMINAÇÃO EXTERNA</t>
        </is>
      </c>
      <c r="F71" s="17" t="inlineStr">
        <is>
          <t>M</t>
        </is>
      </c>
      <c r="G71" s="18" t="n">
        <v>100.0</v>
      </c>
      <c r="H71" s="19" t="n">
        <v>59.78</v>
      </c>
      <c r="I71" s="19" t="n">
        <v>74.64</v>
      </c>
      <c r="J71" s="19" t="n">
        <v>1071.0</v>
      </c>
      <c r="K71" s="19" t="n">
        <v>14.35</v>
      </c>
      <c r="L71" s="19" t="str">
        <f>7464.0</f>
      </c>
      <c r="M71" s="20" t="n">
        <v>0.0012831331178648434</v>
      </c>
    </row>
    <row customHeight="1" ht="36" r="72">
      <c r="A72" s="16" t="inlineStr">
        <is>
          <t> 3.1.2.13 </t>
        </is>
      </c>
      <c r="B72" s="18" t="inlineStr">
        <is>
          <t> 91927 </t>
        </is>
      </c>
      <c r="C72" s="16" t="inlineStr">
        <is>
          <t>SINAPI</t>
        </is>
      </c>
      <c r="D72" s="16" t="inlineStr">
        <is>
          <t>CABO DE COBRE FLEXÍVEL ISOLADO, 2,5 MM², ANTI-CHAMA 0,6/1,0 KV, PARA CIRCUITOS TERMINAIS - FORNECIMENTO E INSTALAÇÃO. AF_12/2015</t>
        </is>
      </c>
      <c r="E72" s="16" t="inlineStr">
        <is>
          <t>INEL - INSTALAÇÃO ELÉTRICA/ELETRIFICAÇÃO E ILUMINAÇÃO EXTERNA</t>
        </is>
      </c>
      <c r="F72" s="17" t="inlineStr">
        <is>
          <t>M</t>
        </is>
      </c>
      <c r="G72" s="18" t="n">
        <v>30.0</v>
      </c>
      <c r="H72" s="19" t="n">
        <v>5.03</v>
      </c>
      <c r="I72" s="19" t="n">
        <v>6.28</v>
      </c>
      <c r="J72" s="19" t="n">
        <v>30.6</v>
      </c>
      <c r="K72" s="19" t="n">
        <v>16.24</v>
      </c>
      <c r="L72" s="19" t="str">
        <f>188.4</f>
      </c>
      <c r="M72" s="20" t="n">
        <v>3.23877651936946e-05</v>
      </c>
    </row>
    <row customHeight="1" ht="24" r="73">
      <c r="A73" s="16" t="inlineStr">
        <is>
          <t> 3.1.2.14 </t>
        </is>
      </c>
      <c r="B73" s="18" t="inlineStr">
        <is>
          <t> 98111 </t>
        </is>
      </c>
      <c r="C73" s="16" t="inlineStr">
        <is>
          <t>SINAPI</t>
        </is>
      </c>
      <c r="D73" s="16" t="inlineStr">
        <is>
          <t>CAIXA DE INSPEÇÃO PARA ATERRAMENTO, CIRCULAR, EM POLIETILENO, DIÂMETRO INTERNO = 0,3 M. AF_05/2018</t>
        </is>
      </c>
      <c r="E73" s="16" t="inlineStr">
        <is>
          <t>INHI - INSTALAÇÕES HIDROS SANITÁRIAS</t>
        </is>
      </c>
      <c r="F73" s="17" t="inlineStr">
        <is>
          <t>UN</t>
        </is>
      </c>
      <c r="G73" s="18" t="n">
        <v>21.0</v>
      </c>
      <c r="H73" s="19" t="n">
        <v>36.84</v>
      </c>
      <c r="I73" s="19" t="n">
        <v>45.99</v>
      </c>
      <c r="J73" s="19" t="n">
        <v>150.36</v>
      </c>
      <c r="K73" s="19" t="n">
        <v>15.57</v>
      </c>
      <c r="L73" s="19" t="str">
        <f>965.79</f>
      </c>
      <c r="M73" s="20" t="n">
        <v>0.00016602855491729463</v>
      </c>
    </row>
    <row customHeight="1" ht="24" r="74">
      <c r="A74" s="16" t="inlineStr">
        <is>
          <t> 3.1.2.15 </t>
        </is>
      </c>
      <c r="B74" s="18" t="inlineStr">
        <is>
          <t> 654 </t>
        </is>
      </c>
      <c r="C74" s="16" t="inlineStr">
        <is>
          <t>ORSE</t>
        </is>
      </c>
      <c r="D74" s="16" t="inlineStr">
        <is>
          <t>Caixa de derivação em pvc 4" x 2" c/tampa cega, embutir, p/eletroduto</t>
        </is>
      </c>
      <c r="E74" s="16" t="inlineStr">
        <is>
          <t>Pontos de Suprimento de Energia Convencionais</t>
        </is>
      </c>
      <c r="F74" s="17" t="inlineStr">
        <is>
          <t>un</t>
        </is>
      </c>
      <c r="G74" s="18" t="n">
        <v>21.0</v>
      </c>
      <c r="H74" s="19" t="n">
        <v>10.86</v>
      </c>
      <c r="I74" s="19" t="n">
        <v>13.55</v>
      </c>
      <c r="J74" s="19" t="n">
        <v>107.94</v>
      </c>
      <c r="K74" s="19" t="n">
        <v>37.93</v>
      </c>
      <c r="L74" s="19" t="str">
        <f>284.55</f>
      </c>
      <c r="M74" s="20" t="n">
        <v>4.891687147487154e-05</v>
      </c>
    </row>
    <row customHeight="1" ht="24" r="75">
      <c r="A75" s="44" t="inlineStr">
        <is>
          <t> 3.1.2.16 </t>
        </is>
      </c>
      <c r="B75" s="46" t="inlineStr">
        <is>
          <t> 8853 </t>
        </is>
      </c>
      <c r="C75" s="44" t="inlineStr">
        <is>
          <t>ORSE</t>
        </is>
      </c>
      <c r="D75" s="44" t="inlineStr">
        <is>
          <t>Chapa expandida em aço malha 40x100mm, esp=1/4 (6,3mm) - 16,20 kg/m2</t>
        </is>
      </c>
      <c r="E75" s="44" t="inlineStr">
        <is>
          <t>Material</t>
        </is>
      </c>
      <c r="F75" s="45" t="inlineStr">
        <is>
          <t>m²</t>
        </is>
      </c>
      <c r="G75" s="46" t="n">
        <v>1.0</v>
      </c>
      <c r="H75" s="47" t="n">
        <v>202.41</v>
      </c>
      <c r="I75" s="47" t="n">
        <v>252.72</v>
      </c>
      <c r="J75" s="47" t="n">
        <v>0.0</v>
      </c>
      <c r="K75" s="47" t="n">
        <v>0.0</v>
      </c>
      <c r="L75" s="47" t="str">
        <f>252.72</f>
      </c>
      <c r="M75" s="48" t="n">
        <v>4.3444989489121545e-05</v>
      </c>
    </row>
    <row customHeight="1" ht="24" r="76">
      <c r="A76" s="44" t="inlineStr">
        <is>
          <t> 3.1.2.17 </t>
        </is>
      </c>
      <c r="B76" s="46" t="inlineStr">
        <is>
          <t> 033266 </t>
        </is>
      </c>
      <c r="C76" s="44" t="inlineStr">
        <is>
          <t>SBC</t>
        </is>
      </c>
      <c r="D76" s="44" t="inlineStr">
        <is>
          <t>CONECTOR METALICO TIPO PARAFUSO FENDIDO SPLIT BOLD 70mm</t>
        </is>
      </c>
      <c r="E76" s="44" t="inlineStr">
        <is>
          <t>Material</t>
        </is>
      </c>
      <c r="F76" s="45" t="inlineStr">
        <is>
          <t>UN</t>
        </is>
      </c>
      <c r="G76" s="46" t="n">
        <v>1.0</v>
      </c>
      <c r="H76" s="47" t="n">
        <v>20.3</v>
      </c>
      <c r="I76" s="47" t="n">
        <v>25.34</v>
      </c>
      <c r="J76" s="47" t="n">
        <v>0.0</v>
      </c>
      <c r="K76" s="47" t="n">
        <v>0.0</v>
      </c>
      <c r="L76" s="47" t="str">
        <f>25.34</f>
      </c>
      <c r="M76" s="48" t="n">
        <v>4.356188800468265e-06</v>
      </c>
    </row>
    <row customHeight="1" ht="24" r="77">
      <c r="A77" s="16" t="inlineStr">
        <is>
          <t> 3.1.2.18 </t>
        </is>
      </c>
      <c r="B77" s="18" t="inlineStr">
        <is>
          <t> 11816 </t>
        </is>
      </c>
      <c r="C77" s="16" t="inlineStr">
        <is>
          <t>ORSE</t>
        </is>
      </c>
      <c r="D77" s="16" t="inlineStr">
        <is>
          <t>Box reto em alumínio de 3/4"</t>
        </is>
      </c>
      <c r="E77" s="16" t="inlineStr">
        <is>
          <t>Interligações até Quadro Geral - Eletrodutos e Conexões</t>
        </is>
      </c>
      <c r="F77" s="17" t="inlineStr">
        <is>
          <t>un</t>
        </is>
      </c>
      <c r="G77" s="18" t="n">
        <v>2.0</v>
      </c>
      <c r="H77" s="19" t="n">
        <v>8.19</v>
      </c>
      <c r="I77" s="19" t="n">
        <v>10.22</v>
      </c>
      <c r="J77" s="19" t="n">
        <v>7.56</v>
      </c>
      <c r="K77" s="19" t="n">
        <v>36.99</v>
      </c>
      <c r="L77" s="19" t="str">
        <f>20.44</f>
      </c>
      <c r="M77" s="20" t="n">
        <v>3.5138318501014735e-06</v>
      </c>
    </row>
    <row customHeight="1" ht="24" r="78">
      <c r="A78" s="44" t="inlineStr">
        <is>
          <t> 3.1.2.19 </t>
        </is>
      </c>
      <c r="B78" s="46" t="inlineStr">
        <is>
          <t> 10622 </t>
        </is>
      </c>
      <c r="C78" s="44" t="inlineStr">
        <is>
          <t>ORSE</t>
        </is>
      </c>
      <c r="D78" s="44" t="inlineStr">
        <is>
          <t>Conector em liga de cobre e aço inoxidável para aterramento de haste 5/8"</t>
        </is>
      </c>
      <c r="E78" s="44" t="inlineStr">
        <is>
          <t>Material</t>
        </is>
      </c>
      <c r="F78" s="45" t="inlineStr">
        <is>
          <t>un</t>
        </is>
      </c>
      <c r="G78" s="46" t="n">
        <v>15.0</v>
      </c>
      <c r="H78" s="47" t="n">
        <v>4.01</v>
      </c>
      <c r="I78" s="47" t="n">
        <v>5.0</v>
      </c>
      <c r="J78" s="47" t="n">
        <v>0.0</v>
      </c>
      <c r="K78" s="47" t="n">
        <v>0.0</v>
      </c>
      <c r="L78" s="47" t="str">
        <f>75.0</f>
      </c>
      <c r="M78" s="48" t="n">
        <v>1.2893218628063138e-05</v>
      </c>
    </row>
    <row customHeight="1" ht="24" r="79">
      <c r="A79" s="16" t="inlineStr">
        <is>
          <t> 3.1.2.20 </t>
        </is>
      </c>
      <c r="B79" s="18" t="inlineStr">
        <is>
          <t> 091717 </t>
        </is>
      </c>
      <c r="C79" s="16" t="inlineStr">
        <is>
          <t>SIURB</t>
        </is>
      </c>
      <c r="D79" s="16" t="inlineStr">
        <is>
          <t>DISJUNTOR A VÁCUO 15KV/ 350MVA - MOTORIZADO - COMPLETO</t>
        </is>
      </c>
      <c r="E79" s="16" t="inlineStr">
        <is>
          <t>Edificações</t>
        </is>
      </c>
      <c r="F79" s="17" t="inlineStr">
        <is>
          <t>UN</t>
        </is>
      </c>
      <c r="G79" s="18" t="n">
        <v>1.0</v>
      </c>
      <c r="H79" s="19" t="n">
        <v>27455.73</v>
      </c>
      <c r="I79" s="19" t="n">
        <v>34281.22</v>
      </c>
      <c r="J79" s="19" t="n">
        <v>478.25</v>
      </c>
      <c r="K79" s="19" t="n">
        <v>1.4</v>
      </c>
      <c r="L79" s="19" t="str">
        <f>34281.22</f>
      </c>
      <c r="M79" s="20" t="n">
        <v>0.0058932701906230745</v>
      </c>
    </row>
    <row customHeight="1" ht="36" r="80">
      <c r="A80" s="16" t="inlineStr">
        <is>
          <t> 3.1.2.21 </t>
        </is>
      </c>
      <c r="B80" s="18" t="inlineStr">
        <is>
          <t> 95752 </t>
        </is>
      </c>
      <c r="C80" s="16" t="inlineStr">
        <is>
          <t>SINAPI</t>
        </is>
      </c>
      <c r="D80" s="16" t="inlineStr">
        <is>
          <t>ELETRODUTO DE AÇO GALVANIZADO, CLASSE SEMI PESADO, DN 40 MM (1 1/2  ), APARENTE, INSTALADO EM PAREDE - FORNECIMENTO E INSTALAÇÃO. AF_11/2016_P</t>
        </is>
      </c>
      <c r="E80" s="16" t="inlineStr">
        <is>
          <t>INEL - INSTALAÇÃO ELÉTRICA/ELETRIFICAÇÃO E ILUMINAÇÃO EXTERNA</t>
        </is>
      </c>
      <c r="F80" s="17" t="inlineStr">
        <is>
          <t>M</t>
        </is>
      </c>
      <c r="G80" s="18" t="n">
        <v>12.0</v>
      </c>
      <c r="H80" s="19" t="n">
        <v>51.67</v>
      </c>
      <c r="I80" s="19" t="n">
        <v>64.51</v>
      </c>
      <c r="J80" s="19" t="n">
        <v>171.84</v>
      </c>
      <c r="K80" s="19" t="n">
        <v>22.2</v>
      </c>
      <c r="L80" s="19" t="str">
        <f>774.12</f>
      </c>
      <c r="M80" s="20" t="n">
        <v>0.00013307864539141649</v>
      </c>
    </row>
    <row customHeight="1" ht="36" r="81">
      <c r="A81" s="16" t="inlineStr">
        <is>
          <t> 3.1.2.22 </t>
        </is>
      </c>
      <c r="B81" s="18" t="inlineStr">
        <is>
          <t> 95749 </t>
        </is>
      </c>
      <c r="C81" s="16" t="inlineStr">
        <is>
          <t>SINAPI</t>
        </is>
      </c>
      <c r="D81" s="16" t="inlineStr">
        <is>
          <t>ELETRODUTO DE AÇO GALVANIZADO, CLASSE LEVE, DN 20 MM (3/4), APARENTE, INSTALADO EM PAREDE - FORNECIMENTO E INSTALAÇÃO. AF_11/2016_P</t>
        </is>
      </c>
      <c r="E81" s="16" t="inlineStr">
        <is>
          <t>INEL - INSTALAÇÃO ELÉTRICA/ELETRIFICAÇÃO E ILUMINAÇÃO EXTERNA</t>
        </is>
      </c>
      <c r="F81" s="17" t="inlineStr">
        <is>
          <t>M</t>
        </is>
      </c>
      <c r="G81" s="18" t="n">
        <v>60.0</v>
      </c>
      <c r="H81" s="19" t="n">
        <v>25.84</v>
      </c>
      <c r="I81" s="19" t="n">
        <v>32.26</v>
      </c>
      <c r="J81" s="19" t="n">
        <v>620.4</v>
      </c>
      <c r="K81" s="19" t="n">
        <v>32.05</v>
      </c>
      <c r="L81" s="19" t="str">
        <f>1935.6</f>
      </c>
      <c r="M81" s="20" t="n">
        <v>0.00033274818635305344</v>
      </c>
    </row>
    <row customHeight="1" ht="24" r="82">
      <c r="A82" s="16" t="inlineStr">
        <is>
          <t> 3.1.2.23 </t>
        </is>
      </c>
      <c r="B82" s="18" t="inlineStr">
        <is>
          <t> 72554 </t>
        </is>
      </c>
      <c r="C82" s="16" t="inlineStr">
        <is>
          <t>SINAPI</t>
        </is>
      </c>
      <c r="D82" s="16" t="inlineStr">
        <is>
          <t>EXTINTOR DE CO2 6KG - FORNECIMENTO E INSTALACAO</t>
        </is>
      </c>
      <c r="E82" s="16" t="inlineStr">
        <is>
          <t>INES - INSTALAÇÕES ESPECIAIS</t>
        </is>
      </c>
      <c r="F82" s="17" t="inlineStr">
        <is>
          <t>UN</t>
        </is>
      </c>
      <c r="G82" s="18" t="n">
        <v>2.0</v>
      </c>
      <c r="H82" s="19" t="n">
        <v>731.33</v>
      </c>
      <c r="I82" s="19" t="n">
        <v>913.13</v>
      </c>
      <c r="J82" s="19" t="n">
        <v>20.94</v>
      </c>
      <c r="K82" s="19" t="n">
        <v>1.15</v>
      </c>
      <c r="L82" s="19" t="str">
        <f>1826.26</f>
      </c>
      <c r="M82" s="20" t="n">
        <v>0.00031395159268915446</v>
      </c>
    </row>
    <row customHeight="1" ht="24" r="83">
      <c r="A83" s="16" t="inlineStr">
        <is>
          <t> 3.1.2.24 </t>
        </is>
      </c>
      <c r="B83" s="18" t="inlineStr">
        <is>
          <t> 83635 </t>
        </is>
      </c>
      <c r="C83" s="16" t="inlineStr">
        <is>
          <t>SINAPI</t>
        </is>
      </c>
      <c r="D83" s="16" t="inlineStr">
        <is>
          <t>EXTINTOR INCENDIO TP PO QUIMICO 6KG - FORNECIMENTO E INSTALACAO</t>
        </is>
      </c>
      <c r="E83" s="16" t="inlineStr">
        <is>
          <t>INES - INSTALAÇÕES ESPECIAIS</t>
        </is>
      </c>
      <c r="F83" s="17" t="inlineStr">
        <is>
          <t>UN</t>
        </is>
      </c>
      <c r="G83" s="18" t="n">
        <v>2.0</v>
      </c>
      <c r="H83" s="19" t="n">
        <v>258.28</v>
      </c>
      <c r="I83" s="19" t="n">
        <v>322.48</v>
      </c>
      <c r="J83" s="19" t="n">
        <v>34.98</v>
      </c>
      <c r="K83" s="19" t="n">
        <v>5.42</v>
      </c>
      <c r="L83" s="19" t="str">
        <f>644.96</f>
      </c>
      <c r="M83" s="20" t="n">
        <v>0.00011087480381807468</v>
      </c>
    </row>
    <row customHeight="1" ht="24" r="84">
      <c r="A84" s="16" t="inlineStr">
        <is>
          <t> 3.1.2.25 </t>
        </is>
      </c>
      <c r="B84" s="18" t="inlineStr">
        <is>
          <t> 090229 </t>
        </is>
      </c>
      <c r="C84" s="16" t="inlineStr">
        <is>
          <t>SIURB</t>
        </is>
      </c>
      <c r="D84" s="16" t="inlineStr">
        <is>
          <t>ELETRODUTO DE AÇO GALVANIZADO A FOGO, TIPO SEMI-PESADO/ MÉDIO - 4"</t>
        </is>
      </c>
      <c r="E84" s="16" t="inlineStr">
        <is>
          <t>Edificações</t>
        </is>
      </c>
      <c r="F84" s="17" t="inlineStr">
        <is>
          <t>M</t>
        </is>
      </c>
      <c r="G84" s="18" t="n">
        <v>18.0</v>
      </c>
      <c r="H84" s="19" t="n">
        <v>131.7</v>
      </c>
      <c r="I84" s="19" t="n">
        <v>164.44</v>
      </c>
      <c r="J84" s="19" t="n">
        <v>955.98</v>
      </c>
      <c r="K84" s="19" t="n">
        <v>32.3</v>
      </c>
      <c r="L84" s="19" t="str">
        <f>2959.92</f>
      </c>
      <c r="M84" s="20" t="n">
        <v>0.0005088386090876886</v>
      </c>
    </row>
    <row customHeight="1" ht="24" r="85">
      <c r="A85" s="16" t="inlineStr">
        <is>
          <t> 3.1.2.26 </t>
        </is>
      </c>
      <c r="B85" s="18" t="inlineStr">
        <is>
          <t> 3329 </t>
        </is>
      </c>
      <c r="C85" s="16" t="inlineStr">
        <is>
          <t>ORSE</t>
        </is>
      </c>
      <c r="D85" s="16" t="inlineStr">
        <is>
          <t>Fornecimento de fita auto fusão 19 mm x 10 m</t>
        </is>
      </c>
      <c r="E85" s="16" t="inlineStr">
        <is>
          <t>Conversão InfoWOrca</t>
        </is>
      </c>
      <c r="F85" s="17" t="inlineStr">
        <is>
          <t>un</t>
        </is>
      </c>
      <c r="G85" s="18" t="n">
        <v>2.0</v>
      </c>
      <c r="H85" s="19" t="n">
        <v>12.6</v>
      </c>
      <c r="I85" s="19" t="n">
        <v>15.73</v>
      </c>
      <c r="J85" s="19" t="n">
        <v>0.0</v>
      </c>
      <c r="K85" s="19" t="n">
        <v>0.0</v>
      </c>
      <c r="L85" s="19" t="str">
        <f>31.46</f>
      </c>
      <c r="M85" s="20" t="n">
        <v>5.4082754405182175e-06</v>
      </c>
    </row>
    <row customHeight="1" ht="24" r="86">
      <c r="A86" s="16" t="inlineStr">
        <is>
          <t> 3.1.2.27 </t>
        </is>
      </c>
      <c r="B86" s="18" t="inlineStr">
        <is>
          <t> 4015 </t>
        </is>
      </c>
      <c r="C86" s="16" t="inlineStr">
        <is>
          <t>ORSE</t>
        </is>
      </c>
      <c r="D86" s="16" t="inlineStr">
        <is>
          <t>Fita isolante alta fusão 19 mm x 10 m - Fornecimento</t>
        </is>
      </c>
      <c r="E86" s="16" t="inlineStr">
        <is>
          <t>Pontos de Suprimento de Energia Convencionais</t>
        </is>
      </c>
      <c r="F86" s="17" t="inlineStr">
        <is>
          <t>Un</t>
        </is>
      </c>
      <c r="G86" s="18" t="n">
        <v>4.0</v>
      </c>
      <c r="H86" s="19" t="n">
        <v>12.6</v>
      </c>
      <c r="I86" s="19" t="n">
        <v>15.73</v>
      </c>
      <c r="J86" s="19" t="n">
        <v>0.0</v>
      </c>
      <c r="K86" s="19" t="n">
        <v>0.0</v>
      </c>
      <c r="L86" s="19" t="str">
        <f>62.92</f>
      </c>
      <c r="M86" s="20" t="n">
        <v>1.0816550881036435e-05</v>
      </c>
    </row>
    <row customHeight="1" ht="24" r="87">
      <c r="A87" s="16" t="inlineStr">
        <is>
          <t> 3.1.2.28 </t>
        </is>
      </c>
      <c r="B87" s="18" t="inlineStr">
        <is>
          <t> 9379 </t>
        </is>
      </c>
      <c r="C87" s="16" t="inlineStr">
        <is>
          <t>ORSE</t>
        </is>
      </c>
      <c r="D87" s="16" t="inlineStr">
        <is>
          <t>Haste cobreada copperweld p/aterramento d=  5/8" x 2,40m</t>
        </is>
      </c>
      <c r="E87" s="16" t="inlineStr">
        <is>
          <t>Conversão InfoWOrca</t>
        </is>
      </c>
      <c r="F87" s="17" t="inlineStr">
        <is>
          <t>un</t>
        </is>
      </c>
      <c r="G87" s="18" t="n">
        <v>21.0</v>
      </c>
      <c r="H87" s="19" t="n">
        <v>39.96</v>
      </c>
      <c r="I87" s="19" t="n">
        <v>49.89</v>
      </c>
      <c r="J87" s="19" t="n">
        <v>216.3</v>
      </c>
      <c r="K87" s="19" t="n">
        <v>20.65</v>
      </c>
      <c r="L87" s="19" t="str">
        <f>1047.69</f>
      </c>
      <c r="M87" s="20" t="n">
        <v>0.00018010794965913956</v>
      </c>
    </row>
    <row customHeight="1" ht="36" r="88">
      <c r="A88" s="16" t="inlineStr">
        <is>
          <t> 3.1.2.29 </t>
        </is>
      </c>
      <c r="B88" s="18" t="inlineStr">
        <is>
          <t> 92033 </t>
        </is>
      </c>
      <c r="C88" s="16" t="inlineStr">
        <is>
          <t>SINAPI</t>
        </is>
      </c>
      <c r="D88" s="16" t="inlineStr">
        <is>
          <t>INTERRUPTOR PARALELO (2 MÓDULOS) COM 1 TOMADA DE EMBUTIR 2P+T 10 A,  INCLUINDO SUPORTE E PLACA - FORNECIMENTO E INSTALAÇÃO. AF_12/2015</t>
        </is>
      </c>
      <c r="E88" s="16" t="inlineStr">
        <is>
          <t>INEL - INSTALAÇÃO ELÉTRICA/ELETRIFICAÇÃO E ILUMINAÇÃO EXTERNA</t>
        </is>
      </c>
      <c r="F88" s="17" t="inlineStr">
        <is>
          <t>UN</t>
        </is>
      </c>
      <c r="G88" s="18" t="n">
        <v>1.0</v>
      </c>
      <c r="H88" s="19" t="n">
        <v>60.6</v>
      </c>
      <c r="I88" s="19" t="n">
        <v>75.66</v>
      </c>
      <c r="J88" s="19" t="n">
        <v>30.25</v>
      </c>
      <c r="K88" s="19" t="n">
        <v>39.98</v>
      </c>
      <c r="L88" s="19" t="str">
        <f>75.66</f>
      </c>
      <c r="M88" s="20" t="n">
        <v>1.3006678951990092e-05</v>
      </c>
    </row>
    <row customHeight="1" ht="36" r="89">
      <c r="A89" s="16" t="inlineStr">
        <is>
          <t> 3.1.2.30 </t>
        </is>
      </c>
      <c r="B89" s="18" t="inlineStr">
        <is>
          <t> 7380 </t>
        </is>
      </c>
      <c r="C89" s="16" t="inlineStr">
        <is>
          <t>ORSE</t>
        </is>
      </c>
      <c r="D89" s="16" t="inlineStr">
        <is>
          <t>Fornecimento e instalção de isolador suporte pedestal de uso interno com prensa fio, em porcelana tipo pilar cor branca, classe tensão 15 kV</t>
        </is>
      </c>
      <c r="E89" s="16" t="inlineStr">
        <is>
          <t>Entrada em Baixa Tensão</t>
        </is>
      </c>
      <c r="F89" s="17" t="inlineStr">
        <is>
          <t>un</t>
        </is>
      </c>
      <c r="G89" s="18" t="n">
        <v>3.0</v>
      </c>
      <c r="H89" s="19" t="n">
        <v>193.15</v>
      </c>
      <c r="I89" s="19" t="n">
        <v>241.16</v>
      </c>
      <c r="J89" s="19" t="n">
        <v>94.56</v>
      </c>
      <c r="K89" s="19" t="n">
        <v>13.07</v>
      </c>
      <c r="L89" s="19" t="str">
        <f>723.48</f>
      </c>
      <c r="M89" s="20" t="n">
        <v>0.00012437314417374824</v>
      </c>
    </row>
    <row customHeight="1" ht="24" r="90">
      <c r="A90" s="44" t="inlineStr">
        <is>
          <t> 3.1.2.31 </t>
        </is>
      </c>
      <c r="B90" s="46" t="inlineStr">
        <is>
          <t> 10686 </t>
        </is>
      </c>
      <c r="C90" s="44" t="inlineStr">
        <is>
          <t>ORSE</t>
        </is>
      </c>
      <c r="D90" s="44" t="inlineStr">
        <is>
          <t>Isolador de passagem interno - interno 15kv</t>
        </is>
      </c>
      <c r="E90" s="44" t="inlineStr">
        <is>
          <t>Material</t>
        </is>
      </c>
      <c r="F90" s="45" t="inlineStr">
        <is>
          <t>un</t>
        </is>
      </c>
      <c r="G90" s="46" t="n">
        <v>3.0</v>
      </c>
      <c r="H90" s="47" t="n">
        <v>58.81</v>
      </c>
      <c r="I90" s="47" t="n">
        <v>73.43</v>
      </c>
      <c r="J90" s="47" t="n">
        <v>0.0</v>
      </c>
      <c r="K90" s="47" t="n">
        <v>0.0</v>
      </c>
      <c r="L90" s="47" t="str">
        <f>220.29</f>
      </c>
      <c r="M90" s="48" t="n">
        <v>3.7869961754347046e-05</v>
      </c>
    </row>
    <row customHeight="1" ht="24" r="91">
      <c r="A91" s="16" t="inlineStr">
        <is>
          <t> 3.1.2.32 </t>
        </is>
      </c>
      <c r="B91" s="18" t="inlineStr">
        <is>
          <t> 065551 </t>
        </is>
      </c>
      <c r="C91" s="16" t="inlineStr">
        <is>
          <t>SBC</t>
        </is>
      </c>
      <c r="D91" s="16" t="inlineStr">
        <is>
          <t>ISOLADOR DE PEDESTAL PORCELANA PARA 15KV</t>
        </is>
      </c>
      <c r="E91" s="16" t="n">
        <v>65</v>
      </c>
      <c r="F91" s="17" t="inlineStr">
        <is>
          <t>UN</t>
        </is>
      </c>
      <c r="G91" s="18" t="n">
        <v>9.0</v>
      </c>
      <c r="H91" s="19" t="n">
        <v>89.8</v>
      </c>
      <c r="I91" s="19" t="n">
        <v>112.12</v>
      </c>
      <c r="J91" s="19" t="n">
        <v>515.34</v>
      </c>
      <c r="K91" s="19" t="n">
        <v>51.07</v>
      </c>
      <c r="L91" s="19" t="str">
        <f>1009.08</f>
      </c>
      <c r="M91" s="20" t="n">
        <v>0.00017347052070941266</v>
      </c>
    </row>
    <row customHeight="1" ht="36" r="92">
      <c r="A92" s="16" t="inlineStr">
        <is>
          <t> 3.1.2.33 </t>
        </is>
      </c>
      <c r="B92" s="18" t="inlineStr">
        <is>
          <t> 11952 </t>
        </is>
      </c>
      <c r="C92" s="16" t="inlineStr">
        <is>
          <t>ORSE</t>
        </is>
      </c>
      <c r="D92" s="16" t="inlineStr">
        <is>
          <t>Luminária de embutir Lar T8 Led com refletor com aletas, 2x18w da Aladin FE 209/232 Al ou similar com lâmpadas e reator bivolt</t>
        </is>
      </c>
      <c r="E92" s="16" t="inlineStr">
        <is>
          <t>Luminárias Internas</t>
        </is>
      </c>
      <c r="F92" s="17" t="inlineStr">
        <is>
          <t>un</t>
        </is>
      </c>
      <c r="G92" s="18" t="n">
        <v>10.0</v>
      </c>
      <c r="H92" s="19" t="n">
        <v>162.71</v>
      </c>
      <c r="I92" s="19" t="n">
        <v>203.15</v>
      </c>
      <c r="J92" s="19" t="n">
        <v>172.1</v>
      </c>
      <c r="K92" s="19" t="n">
        <v>8.47</v>
      </c>
      <c r="L92" s="19" t="str">
        <f>2031.5</f>
      </c>
      <c r="M92" s="20" t="n">
        <v>0.0003492343152388035</v>
      </c>
    </row>
    <row customHeight="1" ht="24" r="93">
      <c r="A93" s="16" t="inlineStr">
        <is>
          <t> 3.1.2.34 </t>
        </is>
      </c>
      <c r="B93" s="18" t="inlineStr">
        <is>
          <t> 060632 </t>
        </is>
      </c>
      <c r="C93" s="16" t="inlineStr">
        <is>
          <t>SBC</t>
        </is>
      </c>
      <c r="D93" s="16" t="inlineStr">
        <is>
          <t>LUMINARIA TUBULAR DE LED COMPLETA BIVOLT 18W 60CM BRANCOFRIO</t>
        </is>
      </c>
      <c r="E93" s="16" t="n">
        <v>60</v>
      </c>
      <c r="F93" s="17" t="inlineStr">
        <is>
          <t>UN</t>
        </is>
      </c>
      <c r="G93" s="18" t="n">
        <v>20.0</v>
      </c>
      <c r="H93" s="19" t="n">
        <v>66.58</v>
      </c>
      <c r="I93" s="19" t="n">
        <v>83.13</v>
      </c>
      <c r="J93" s="19" t="n">
        <v>694.0</v>
      </c>
      <c r="K93" s="19" t="n">
        <v>41.74</v>
      </c>
      <c r="L93" s="19" t="str">
        <f>1662.6</f>
      </c>
      <c r="M93" s="20" t="n">
        <v>0.0002858168705469036</v>
      </c>
    </row>
    <row customHeight="1" ht="24" r="94">
      <c r="A94" s="16" t="inlineStr">
        <is>
          <t> 3.1.2.35 </t>
        </is>
      </c>
      <c r="B94" s="18" t="inlineStr">
        <is>
          <t> 091459 </t>
        </is>
      </c>
      <c r="C94" s="16" t="inlineStr">
        <is>
          <t>SIURB</t>
        </is>
      </c>
      <c r="D94" s="16" t="inlineStr">
        <is>
          <t>LUVA DE BORRACHA ISOLAÇÃO 20KV</t>
        </is>
      </c>
      <c r="E94" s="16" t="inlineStr">
        <is>
          <t>Edificações</t>
        </is>
      </c>
      <c r="F94" s="17" t="inlineStr">
        <is>
          <t>PAR</t>
        </is>
      </c>
      <c r="G94" s="18" t="n">
        <v>1.0</v>
      </c>
      <c r="H94" s="19" t="n">
        <v>497.1</v>
      </c>
      <c r="I94" s="19" t="n">
        <v>620.67</v>
      </c>
      <c r="J94" s="19" t="n">
        <v>1.12</v>
      </c>
      <c r="K94" s="19" t="n">
        <v>0.18</v>
      </c>
      <c r="L94" s="19" t="str">
        <f>620.67</f>
      </c>
      <c r="M94" s="20" t="n">
        <v>0.0001066991200783993</v>
      </c>
    </row>
    <row customHeight="1" ht="36" r="95">
      <c r="A95" s="16" t="inlineStr">
        <is>
          <t> 3.1.2.36 </t>
        </is>
      </c>
      <c r="B95" s="18" t="inlineStr">
        <is>
          <t> 95760 </t>
        </is>
      </c>
      <c r="C95" s="16" t="inlineStr">
        <is>
          <t>SINAPI</t>
        </is>
      </c>
      <c r="D95" s="16" t="inlineStr">
        <is>
          <t>LUVA DE EMENDA PARA ELETRODUTO, AÇO GALVANIZADO, DN 40 MM (1 1/2''), APARENTE, INSTALADA EM PAREDE - FORNECIMENTO E INSTALAÇÃO. AF_11/2016_P</t>
        </is>
      </c>
      <c r="E95" s="16" t="inlineStr">
        <is>
          <t>INEL - INSTALAÇÃO ELÉTRICA/ELETRIFICAÇÃO E ILUMINAÇÃO EXTERNA</t>
        </is>
      </c>
      <c r="F95" s="17" t="inlineStr">
        <is>
          <t>UN</t>
        </is>
      </c>
      <c r="G95" s="18" t="n">
        <v>2.0</v>
      </c>
      <c r="H95" s="19" t="n">
        <v>16.54</v>
      </c>
      <c r="I95" s="19" t="n">
        <v>20.65</v>
      </c>
      <c r="J95" s="19" t="n">
        <v>18.32</v>
      </c>
      <c r="K95" s="19" t="n">
        <v>44.36</v>
      </c>
      <c r="L95" s="19" t="str">
        <f>41.3</f>
      </c>
      <c r="M95" s="20" t="n">
        <v>7.0998657245201e-06</v>
      </c>
    </row>
    <row customHeight="1" ht="24" r="96">
      <c r="A96" s="16" t="inlineStr">
        <is>
          <t> 3.1.2.37 </t>
        </is>
      </c>
      <c r="B96" s="18" t="inlineStr">
        <is>
          <t> 5205 </t>
        </is>
      </c>
      <c r="C96" s="16" t="inlineStr">
        <is>
          <t>ORSE</t>
        </is>
      </c>
      <c r="D96" s="16" t="inlineStr">
        <is>
          <t>Fornecimento de luva simples de pvc junta elástica, diam. =  100mm</t>
        </is>
      </c>
      <c r="E96" s="16" t="inlineStr">
        <is>
          <t>Fornecimento de Conexões de PVC Junta Elástica</t>
        </is>
      </c>
      <c r="F96" s="17" t="inlineStr">
        <is>
          <t>un</t>
        </is>
      </c>
      <c r="G96" s="18" t="n">
        <v>4.0</v>
      </c>
      <c r="H96" s="19" t="n">
        <v>56.98</v>
      </c>
      <c r="I96" s="19" t="n">
        <v>71.14</v>
      </c>
      <c r="J96" s="19" t="n">
        <v>0.0</v>
      </c>
      <c r="K96" s="19" t="n">
        <v>0.0</v>
      </c>
      <c r="L96" s="19" t="str">
        <f>284.56</f>
      </c>
      <c r="M96" s="20" t="n">
        <v>4.891859057068862e-05</v>
      </c>
    </row>
    <row customHeight="1" ht="24" r="97">
      <c r="A97" s="16" t="inlineStr">
        <is>
          <t> 3.1.2.38 </t>
        </is>
      </c>
      <c r="B97" s="18" t="inlineStr">
        <is>
          <t> 09.80.041 </t>
        </is>
      </c>
      <c r="C97" s="16" t="inlineStr">
        <is>
          <t>FDE</t>
        </is>
      </c>
      <c r="D97" s="16" t="inlineStr">
        <is>
          <t>MANOPLA DE COMANDO DE DISJUNTOR DE A. T.</t>
        </is>
      </c>
      <c r="E97" s="16" t="n">
        <v>9.8</v>
      </c>
      <c r="F97" s="17" t="inlineStr">
        <is>
          <t>UN</t>
        </is>
      </c>
      <c r="G97" s="18" t="n">
        <v>3.0</v>
      </c>
      <c r="H97" s="19" t="n">
        <v>201.17</v>
      </c>
      <c r="I97" s="19" t="n">
        <v>251.18</v>
      </c>
      <c r="J97" s="19" t="n">
        <v>201.96</v>
      </c>
      <c r="K97" s="19" t="n">
        <v>26.8</v>
      </c>
      <c r="L97" s="19" t="str">
        <f>753.54</f>
      </c>
      <c r="M97" s="20" t="n">
        <v>0.00012954074619987596</v>
      </c>
    </row>
    <row customHeight="1" ht="24" r="98">
      <c r="A98" s="16" t="inlineStr">
        <is>
          <t> 3.1.2.39 </t>
        </is>
      </c>
      <c r="B98" s="18" t="inlineStr">
        <is>
          <t> 070057 </t>
        </is>
      </c>
      <c r="C98" s="16" t="inlineStr">
        <is>
          <t>SBC</t>
        </is>
      </c>
      <c r="D98" s="16" t="inlineStr">
        <is>
          <t>MASSA PARA CALAFETAR JUNTAS</t>
        </is>
      </c>
      <c r="E98" s="16" t="n">
        <v>70</v>
      </c>
      <c r="F98" s="17" t="inlineStr">
        <is>
          <t>KG</t>
        </is>
      </c>
      <c r="G98" s="18" t="n">
        <v>12.0</v>
      </c>
      <c r="H98" s="19" t="n">
        <v>23.02</v>
      </c>
      <c r="I98" s="19" t="n">
        <v>28.74</v>
      </c>
      <c r="J98" s="19" t="n">
        <v>41.28</v>
      </c>
      <c r="K98" s="19" t="n">
        <v>11.97</v>
      </c>
      <c r="L98" s="19" t="str">
        <f>344.88</f>
      </c>
      <c r="M98" s="20" t="n">
        <v>5.928817653928553e-05</v>
      </c>
    </row>
    <row customHeight="1" ht="24" r="99">
      <c r="A99" s="16" t="inlineStr">
        <is>
          <t> 3.1.2.40 </t>
        </is>
      </c>
      <c r="B99" s="18" t="inlineStr">
        <is>
          <t> 755 </t>
        </is>
      </c>
      <c r="C99" s="16" t="inlineStr">
        <is>
          <t>ORSE</t>
        </is>
      </c>
      <c r="D99" s="16" t="inlineStr">
        <is>
          <t>Fornecimento e instalação de no-break 110/220 v, 1.2 kva com 03 saídas 110 v ac</t>
        </is>
      </c>
      <c r="E99" s="16" t="inlineStr">
        <is>
          <t>Pontos de Suprimento de Lógica</t>
        </is>
      </c>
      <c r="F99" s="17" t="inlineStr">
        <is>
          <t>un</t>
        </is>
      </c>
      <c r="G99" s="18" t="n">
        <v>1.0</v>
      </c>
      <c r="H99" s="19" t="n">
        <v>766.97</v>
      </c>
      <c r="I99" s="19" t="n">
        <v>957.63</v>
      </c>
      <c r="J99" s="19" t="n">
        <v>10.3</v>
      </c>
      <c r="K99" s="19" t="n">
        <v>1.08</v>
      </c>
      <c r="L99" s="19" t="str">
        <f>957.63</f>
      </c>
      <c r="M99" s="20" t="n">
        <v>0.00016462577273056135</v>
      </c>
    </row>
    <row customHeight="1" ht="36" r="100">
      <c r="A100" s="16" t="inlineStr">
        <is>
          <t> 3.1.2.41 </t>
        </is>
      </c>
      <c r="B100" s="18" t="inlineStr">
        <is>
          <t> 071833 </t>
        </is>
      </c>
      <c r="C100" s="16" t="inlineStr">
        <is>
          <t>AGETOP CIVIL</t>
        </is>
      </c>
      <c r="D100" s="16" t="inlineStr">
        <is>
          <t>PARA RAIOS DISTRIBUIDOR POLIMÉRICO ÓXIDO DE ZINCO S/CENTELHADOR C/ DESLIGAMENTO AUTOMÁTICO 15KV,10KA</t>
        </is>
      </c>
      <c r="E100" s="16" t="n">
        <v>7</v>
      </c>
      <c r="F100" s="17" t="inlineStr">
        <is>
          <t>Un</t>
        </is>
      </c>
      <c r="G100" s="18" t="n">
        <v>4.0</v>
      </c>
      <c r="H100" s="19" t="n">
        <v>245.47</v>
      </c>
      <c r="I100" s="19" t="n">
        <v>306.49</v>
      </c>
      <c r="J100" s="19" t="n">
        <v>222.24</v>
      </c>
      <c r="K100" s="19" t="n">
        <v>18.13</v>
      </c>
      <c r="L100" s="19" t="str">
        <f>1225.96</f>
      </c>
      <c r="M100" s="20" t="n">
        <v>0.00021075427079013712</v>
      </c>
    </row>
    <row customHeight="1" ht="24" r="101">
      <c r="A101" s="44" t="inlineStr">
        <is>
          <t> 3.1.2.42 </t>
        </is>
      </c>
      <c r="B101" s="46" t="inlineStr">
        <is>
          <t> S.04.000.026514 </t>
        </is>
      </c>
      <c r="C101" s="44" t="inlineStr">
        <is>
          <t>CPOS</t>
        </is>
      </c>
      <c r="D101" s="44" t="inlineStr">
        <is>
          <t>Parafuso auto-atarraxante de cabeça redonda ou panela, com fenda, zincado branco de 9,5 x 2,9 mm</t>
        </is>
      </c>
      <c r="E101" s="44" t="inlineStr">
        <is>
          <t>Material</t>
        </is>
      </c>
      <c r="F101" s="45" t="inlineStr">
        <is>
          <t>un</t>
        </is>
      </c>
      <c r="G101" s="46" t="n">
        <v>40.0</v>
      </c>
      <c r="H101" s="47" t="n">
        <v>0.04</v>
      </c>
      <c r="I101" s="47" t="n">
        <v>0.04</v>
      </c>
      <c r="J101" s="47" t="n">
        <v>0.0</v>
      </c>
      <c r="K101" s="47" t="n">
        <v>0.0</v>
      </c>
      <c r="L101" s="47" t="str">
        <f>1.6</f>
      </c>
      <c r="M101" s="48" t="n">
        <v>2.750553307320136e-07</v>
      </c>
    </row>
    <row customHeight="1" ht="24" r="102">
      <c r="A102" s="16" t="inlineStr">
        <is>
          <t> 3.1.2.43 </t>
        </is>
      </c>
      <c r="B102" s="18" t="inlineStr">
        <is>
          <t> 36.20.280 </t>
        </is>
      </c>
      <c r="C102" s="16" t="inlineStr">
        <is>
          <t>CPOS</t>
        </is>
      </c>
      <c r="D102" s="16" t="inlineStr">
        <is>
          <t>Placa de advertência ´Perigo Alta Tensão´ em cabine primária, nas dimensões 400 x 300 mm, chapa 18</t>
        </is>
      </c>
      <c r="E102" s="16" t="n">
        <v>36.2</v>
      </c>
      <c r="F102" s="17" t="inlineStr">
        <is>
          <t>un</t>
        </is>
      </c>
      <c r="G102" s="18" t="n">
        <v>10.0</v>
      </c>
      <c r="H102" s="19" t="n">
        <v>47.06</v>
      </c>
      <c r="I102" s="19" t="n">
        <v>58.75</v>
      </c>
      <c r="J102" s="19" t="n">
        <v>104.2</v>
      </c>
      <c r="K102" s="19" t="n">
        <v>17.74</v>
      </c>
      <c r="L102" s="19" t="str">
        <f>587.5</f>
      </c>
      <c r="M102" s="20" t="n">
        <v>0.00010099687925316124</v>
      </c>
    </row>
    <row customHeight="1" ht="24" r="103">
      <c r="A103" s="16" t="inlineStr">
        <is>
          <t> 3.1.2.44 </t>
        </is>
      </c>
      <c r="B103" s="18" t="inlineStr">
        <is>
          <t> 16.01.046 </t>
        </is>
      </c>
      <c r="C103" s="16" t="inlineStr">
        <is>
          <t>FDE</t>
        </is>
      </c>
      <c r="D103" s="16" t="inlineStr">
        <is>
          <t>PORTÃO EM CHAPA DE AÇO</t>
        </is>
      </c>
      <c r="E103" s="16" t="n">
        <v>16.01</v>
      </c>
      <c r="F103" s="17" t="inlineStr">
        <is>
          <t>m²</t>
        </is>
      </c>
      <c r="G103" s="18" t="n">
        <v>5.0</v>
      </c>
      <c r="H103" s="19" t="n">
        <v>905.09</v>
      </c>
      <c r="I103" s="19" t="n">
        <v>1130.09</v>
      </c>
      <c r="J103" s="19" t="n">
        <v>159.7</v>
      </c>
      <c r="K103" s="19" t="n">
        <v>2.83</v>
      </c>
      <c r="L103" s="19" t="str">
        <f>5650.45</f>
      </c>
      <c r="M103" s="20" t="n">
        <v>0.0009713664959591913</v>
      </c>
    </row>
    <row customHeight="1" ht="24" r="104">
      <c r="A104" s="16" t="inlineStr">
        <is>
          <t> 3.1.2.45 </t>
        </is>
      </c>
      <c r="B104" s="18" t="inlineStr">
        <is>
          <t> 24.02.100 </t>
        </is>
      </c>
      <c r="C104" s="16" t="inlineStr">
        <is>
          <t>CPOS</t>
        </is>
      </c>
      <c r="D104" s="16" t="inlineStr">
        <is>
          <t>Portão tubular em tela de aço galvanizado até 2,50 m de altura, completo</t>
        </is>
      </c>
      <c r="E104" s="16" t="n">
        <v>24.02</v>
      </c>
      <c r="F104" s="17" t="inlineStr">
        <is>
          <t>m²</t>
        </is>
      </c>
      <c r="G104" s="18" t="n">
        <v>1.7</v>
      </c>
      <c r="H104" s="19" t="n">
        <v>660.54</v>
      </c>
      <c r="I104" s="19" t="n">
        <v>824.75</v>
      </c>
      <c r="J104" s="19" t="n">
        <v>114.13</v>
      </c>
      <c r="K104" s="19" t="n">
        <v>8.14</v>
      </c>
      <c r="L104" s="19" t="str">
        <f>1402.07</f>
      </c>
      <c r="M104" s="20" t="n">
        <v>0.00024102926722464644</v>
      </c>
    </row>
    <row customHeight="1" ht="24" r="105">
      <c r="A105" s="16" t="inlineStr">
        <is>
          <t> 3.1.2.46 </t>
        </is>
      </c>
      <c r="B105" s="18" t="inlineStr">
        <is>
          <t> 758 </t>
        </is>
      </c>
      <c r="C105" s="16" t="inlineStr">
        <is>
          <t>ORSE</t>
        </is>
      </c>
      <c r="D105" s="16" t="inlineStr">
        <is>
          <t>Fornecimento e instalação de rack  de piso 19" x 16u x 570mm (gabinete)</t>
        </is>
      </c>
      <c r="E105" s="16" t="inlineStr">
        <is>
          <t>Pontos de Suprimento de Lógica</t>
        </is>
      </c>
      <c r="F105" s="17" t="inlineStr">
        <is>
          <t>un</t>
        </is>
      </c>
      <c r="G105" s="18" t="n">
        <v>1.0</v>
      </c>
      <c r="H105" s="19" t="n">
        <v>669.25</v>
      </c>
      <c r="I105" s="19" t="n">
        <v>835.62</v>
      </c>
      <c r="J105" s="19" t="n">
        <v>64.36</v>
      </c>
      <c r="K105" s="19" t="n">
        <v>7.7</v>
      </c>
      <c r="L105" s="19" t="str">
        <f>835.62</f>
      </c>
      <c r="M105" s="20" t="n">
        <v>0.00014365108466642826</v>
      </c>
    </row>
    <row customHeight="1" ht="36" r="106">
      <c r="A106" s="16" t="inlineStr">
        <is>
          <t> 3.1.2.47 </t>
        </is>
      </c>
      <c r="B106" s="18" t="inlineStr">
        <is>
          <t> 11749 </t>
        </is>
      </c>
      <c r="C106" s="16" t="inlineStr">
        <is>
          <t>ORSE</t>
        </is>
      </c>
      <c r="D106" s="16" t="inlineStr">
        <is>
          <t>Eletroduto metalico flexivel revestido externamente com pvc preto, diametro externo de 25 mm (3/4"), tipo sealtubo</t>
        </is>
      </c>
      <c r="E106" s="16" t="inlineStr">
        <is>
          <t>Interligações até Quadro Geral - Eletrodutos e Conexões</t>
        </is>
      </c>
      <c r="F106" s="17" t="inlineStr">
        <is>
          <t>m</t>
        </is>
      </c>
      <c r="G106" s="18" t="n">
        <v>5.0</v>
      </c>
      <c r="H106" s="19" t="n">
        <v>18.05</v>
      </c>
      <c r="I106" s="19" t="n">
        <v>22.53</v>
      </c>
      <c r="J106" s="19" t="n">
        <v>17.15</v>
      </c>
      <c r="K106" s="19" t="n">
        <v>15.22</v>
      </c>
      <c r="L106" s="19" t="str">
        <f>112.65</f>
      </c>
      <c r="M106" s="20" t="n">
        <v>1.9365614379350832e-05</v>
      </c>
    </row>
    <row customHeight="1" ht="24" r="107">
      <c r="A107" s="16" t="inlineStr">
        <is>
          <t> 3.1.2.48 </t>
        </is>
      </c>
      <c r="B107" s="18" t="inlineStr">
        <is>
          <t> C3909 </t>
        </is>
      </c>
      <c r="C107" s="16" t="inlineStr">
        <is>
          <t>SEINFRA</t>
        </is>
      </c>
      <c r="D107" s="16" t="inlineStr">
        <is>
          <t>SOLDA EXOTÉRMICA</t>
        </is>
      </c>
      <c r="E107" s="16" t="inlineStr">
        <is>
          <t>OUTROS ELEMENTOS</t>
        </is>
      </c>
      <c r="F107" s="17" t="inlineStr">
        <is>
          <t>UN</t>
        </is>
      </c>
      <c r="G107" s="18" t="n">
        <v>45.0</v>
      </c>
      <c r="H107" s="19" t="n">
        <v>41.05</v>
      </c>
      <c r="I107" s="19" t="n">
        <v>51.25</v>
      </c>
      <c r="J107" s="19" t="n">
        <v>180.9</v>
      </c>
      <c r="K107" s="19" t="n">
        <v>7.84</v>
      </c>
      <c r="L107" s="19" t="str">
        <f>2306.25</f>
      </c>
      <c r="M107" s="20" t="n">
        <v>0.00039646647281294146</v>
      </c>
    </row>
    <row customHeight="1" ht="24" r="108">
      <c r="A108" s="16" t="inlineStr">
        <is>
          <t> 3.1.2.49 </t>
        </is>
      </c>
      <c r="B108" s="18" t="inlineStr">
        <is>
          <t> 098382 </t>
        </is>
      </c>
      <c r="C108" s="16" t="inlineStr">
        <is>
          <t>SIURB</t>
        </is>
      </c>
      <c r="D108" s="16" t="inlineStr">
        <is>
          <t>SUPORTE SIMPLES COM ROLDANA, PARA DESCIDA DE PÁRA-RAIOS</t>
        </is>
      </c>
      <c r="E108" s="16" t="inlineStr">
        <is>
          <t>Edificações</t>
        </is>
      </c>
      <c r="F108" s="17" t="inlineStr">
        <is>
          <t>UN</t>
        </is>
      </c>
      <c r="G108" s="18" t="n">
        <v>1.0</v>
      </c>
      <c r="H108" s="19" t="n">
        <v>46.7</v>
      </c>
      <c r="I108" s="19" t="n">
        <v>58.3</v>
      </c>
      <c r="J108" s="19" t="n">
        <v>53.11</v>
      </c>
      <c r="K108" s="19" t="n">
        <v>91.1</v>
      </c>
      <c r="L108" s="19" t="str">
        <f>58.3</f>
      </c>
      <c r="M108" s="20" t="n">
        <v>1.0022328613547745e-05</v>
      </c>
    </row>
    <row customHeight="1" ht="24" r="109">
      <c r="A109" s="16" t="inlineStr">
        <is>
          <t> 3.1.2.50 </t>
        </is>
      </c>
      <c r="B109" s="18" t="inlineStr">
        <is>
          <t> 091406 </t>
        </is>
      </c>
      <c r="C109" s="16" t="inlineStr">
        <is>
          <t>SIURB</t>
        </is>
      </c>
      <c r="D109" s="16" t="inlineStr">
        <is>
          <t>ISOLADOR SUPORTE TIPO PEDESTAL EM PORCELANA - 15KV</t>
        </is>
      </c>
      <c r="E109" s="16" t="inlineStr">
        <is>
          <t>Edificações</t>
        </is>
      </c>
      <c r="F109" s="17" t="inlineStr">
        <is>
          <t>UN</t>
        </is>
      </c>
      <c r="G109" s="18" t="n">
        <v>9.0</v>
      </c>
      <c r="H109" s="19" t="n">
        <v>113.32</v>
      </c>
      <c r="I109" s="19" t="n">
        <v>141.49</v>
      </c>
      <c r="J109" s="19" t="n">
        <v>286.65</v>
      </c>
      <c r="K109" s="19" t="n">
        <v>22.51</v>
      </c>
      <c r="L109" s="19" t="str">
        <f>1273.41</f>
      </c>
      <c r="M109" s="20" t="n">
        <v>0.0002189113804421584</v>
      </c>
    </row>
    <row customHeight="1" ht="24" r="110">
      <c r="A110" s="16" t="inlineStr">
        <is>
          <t> 3.1.2.51 </t>
        </is>
      </c>
      <c r="B110" s="18" t="inlineStr">
        <is>
          <t> 7882 </t>
        </is>
      </c>
      <c r="C110" s="16" t="inlineStr">
        <is>
          <t>ORSE</t>
        </is>
      </c>
      <c r="D110" s="16" t="inlineStr">
        <is>
          <t>Suporte ( receptáculo) p/ lâmpada fluorescente</t>
        </is>
      </c>
      <c r="E110" s="16" t="inlineStr">
        <is>
          <t>Conversão InfoWOrca</t>
        </is>
      </c>
      <c r="F110" s="17" t="inlineStr">
        <is>
          <t>un</t>
        </is>
      </c>
      <c r="G110" s="18" t="n">
        <v>5.0</v>
      </c>
      <c r="H110" s="19" t="n">
        <v>4.84</v>
      </c>
      <c r="I110" s="19" t="n">
        <v>6.04</v>
      </c>
      <c r="J110" s="19" t="n">
        <v>19.7</v>
      </c>
      <c r="K110" s="19" t="n">
        <v>65.23</v>
      </c>
      <c r="L110" s="19" t="str">
        <f>30.2</f>
      </c>
      <c r="M110" s="20" t="n">
        <v>5.191669367566757e-06</v>
      </c>
    </row>
    <row customHeight="1" ht="24" r="111">
      <c r="A111" s="16" t="inlineStr">
        <is>
          <t> 3.1.2.52 </t>
        </is>
      </c>
      <c r="B111" s="18" t="inlineStr">
        <is>
          <t> 11.17.15 </t>
        </is>
      </c>
      <c r="C111" s="16" t="inlineStr">
        <is>
          <t>SUDECAP</t>
        </is>
      </c>
      <c r="D111" s="16" t="inlineStr">
        <is>
          <t>TAMPA CEGA P/ CONDULETE D= 3/4"</t>
        </is>
      </c>
      <c r="E111" s="16" t="inlineStr">
        <is>
          <t>CONDULETE</t>
        </is>
      </c>
      <c r="F111" s="17" t="inlineStr">
        <is>
          <t>UN</t>
        </is>
      </c>
      <c r="G111" s="18" t="n">
        <v>1.0</v>
      </c>
      <c r="H111" s="19" t="n">
        <v>11.88</v>
      </c>
      <c r="I111" s="19" t="n">
        <v>14.83</v>
      </c>
      <c r="J111" s="19" t="n">
        <v>8.6</v>
      </c>
      <c r="K111" s="19" t="n">
        <v>57.99</v>
      </c>
      <c r="L111" s="19" t="str">
        <f>14.83</f>
      </c>
      <c r="M111" s="20" t="n">
        <v>2.549419096722351e-06</v>
      </c>
    </row>
    <row customHeight="1" ht="24" r="112">
      <c r="A112" s="16" t="inlineStr">
        <is>
          <t> 3.1.2.53 </t>
        </is>
      </c>
      <c r="B112" s="18" t="inlineStr">
        <is>
          <t> 10909 </t>
        </is>
      </c>
      <c r="C112" s="16" t="inlineStr">
        <is>
          <t>ORSE</t>
        </is>
      </c>
      <c r="D112" s="16" t="inlineStr">
        <is>
          <t>Fornecimento e instalação de tampa cega p/condulete caixa 4" x 2"</t>
        </is>
      </c>
      <c r="E112" s="16" t="inlineStr">
        <is>
          <t>Pontos de Suprimento de Lógica</t>
        </is>
      </c>
      <c r="F112" s="17" t="inlineStr">
        <is>
          <t>un</t>
        </is>
      </c>
      <c r="G112" s="18" t="n">
        <v>2.0</v>
      </c>
      <c r="H112" s="19" t="n">
        <v>5.86</v>
      </c>
      <c r="I112" s="19" t="n">
        <v>7.31</v>
      </c>
      <c r="J112" s="19" t="n">
        <v>3.94</v>
      </c>
      <c r="K112" s="19" t="n">
        <v>26.95</v>
      </c>
      <c r="L112" s="19" t="str">
        <f>14.62</f>
      </c>
      <c r="M112" s="20" t="n">
        <v>2.5133180845637742e-06</v>
      </c>
    </row>
    <row customHeight="1" ht="24" r="113">
      <c r="A113" s="16" t="inlineStr">
        <is>
          <t> 3.1.2.54 </t>
        </is>
      </c>
      <c r="B113" s="18" t="inlineStr">
        <is>
          <t> 36.20.380 </t>
        </is>
      </c>
      <c r="C113" s="16" t="inlineStr">
        <is>
          <t>CPOS</t>
        </is>
      </c>
      <c r="D113" s="16" t="inlineStr">
        <is>
          <t>Tapete de borracha isolante elétrico de 1000 x 1000 mm</t>
        </is>
      </c>
      <c r="E113" s="16" t="n">
        <v>36.2</v>
      </c>
      <c r="F113" s="17" t="inlineStr">
        <is>
          <t>un</t>
        </is>
      </c>
      <c r="G113" s="18" t="n">
        <v>3.0</v>
      </c>
      <c r="H113" s="19" t="n">
        <v>304.13</v>
      </c>
      <c r="I113" s="19" t="n">
        <v>379.73</v>
      </c>
      <c r="J113" s="19" t="n">
        <v>3.09</v>
      </c>
      <c r="K113" s="19" t="n">
        <v>0.27</v>
      </c>
      <c r="L113" s="19" t="str">
        <f>1139.19</f>
      </c>
      <c r="M113" s="20" t="n">
        <v>0.0001958376763853766</v>
      </c>
    </row>
    <row customHeight="1" ht="36" r="114">
      <c r="A114" s="16" t="inlineStr">
        <is>
          <t> 3.1.2.55 </t>
        </is>
      </c>
      <c r="B114" s="18" t="inlineStr">
        <is>
          <t> 11349 </t>
        </is>
      </c>
      <c r="C114" s="16" t="inlineStr">
        <is>
          <t>ORSE</t>
        </is>
      </c>
      <c r="D114" s="16" t="inlineStr">
        <is>
          <t>Gradil em tela de aço galvanizado revestida em pvc, malha 5 x 10cm, fio 2.5mm, com requadro em tubo de aço galvanziado 2" - Obra do Ceasa Itabaiana</t>
        </is>
      </c>
      <c r="E114" s="16" t="inlineStr">
        <is>
          <t>Estrutura Metálica</t>
        </is>
      </c>
      <c r="F114" s="17" t="inlineStr">
        <is>
          <t>m²</t>
        </is>
      </c>
      <c r="G114" s="18" t="n">
        <v>20.0</v>
      </c>
      <c r="H114" s="19" t="n">
        <v>458.57</v>
      </c>
      <c r="I114" s="19" t="n">
        <v>572.57</v>
      </c>
      <c r="J114" s="19" t="n">
        <v>2913.8</v>
      </c>
      <c r="K114" s="19" t="n">
        <v>25.44</v>
      </c>
      <c r="L114" s="19" t="str">
        <f>11451.4</f>
      </c>
      <c r="M114" s="20" t="n">
        <v>0.0019686053839653626</v>
      </c>
    </row>
    <row customHeight="1" ht="36" r="115">
      <c r="A115" s="16" t="inlineStr">
        <is>
          <t> 3.1.2.56 </t>
        </is>
      </c>
      <c r="B115" s="18" t="inlineStr">
        <is>
          <t> 10420 </t>
        </is>
      </c>
      <c r="C115" s="16" t="inlineStr">
        <is>
          <t>ORSE</t>
        </is>
      </c>
      <c r="D115" s="16" t="inlineStr">
        <is>
          <t>Derivação central (borne concêntrico à pressão) construída em liga de alumínio por porcas e arruelas para vergalhão eletrolítico de 5/8"</t>
        </is>
      </c>
      <c r="E115" s="16" t="inlineStr">
        <is>
          <t>Pontos de Suprimento de Lógica</t>
        </is>
      </c>
      <c r="F115" s="17" t="inlineStr">
        <is>
          <t>un</t>
        </is>
      </c>
      <c r="G115" s="18" t="n">
        <v>30.0</v>
      </c>
      <c r="H115" s="19" t="n">
        <v>29.41</v>
      </c>
      <c r="I115" s="19" t="n">
        <v>36.72</v>
      </c>
      <c r="J115" s="19" t="n">
        <v>412.5</v>
      </c>
      <c r="K115" s="19" t="n">
        <v>37.45</v>
      </c>
      <c r="L115" s="19" t="str">
        <f>1101.6</f>
      </c>
      <c r="M115" s="20" t="n">
        <v>0.00018937559520899134</v>
      </c>
    </row>
    <row customHeight="1" ht="36" r="116">
      <c r="A116" s="16" t="inlineStr">
        <is>
          <t> 3.1.2.57 </t>
        </is>
      </c>
      <c r="B116" s="18" t="inlineStr">
        <is>
          <t> 11844 </t>
        </is>
      </c>
      <c r="C116" s="16" t="inlineStr">
        <is>
          <t>ORSE</t>
        </is>
      </c>
      <c r="D116" s="16" t="inlineStr">
        <is>
          <t>Derivação tipo "T" (borne concêntrico à pressão) construída em liga de alumínio por porcas e arruelas para vergalhão eletrolítico de 1/4"</t>
        </is>
      </c>
      <c r="E116" s="16" t="inlineStr">
        <is>
          <t>Pontos de Suprimento de Lógica</t>
        </is>
      </c>
      <c r="F116" s="17" t="inlineStr">
        <is>
          <t>un</t>
        </is>
      </c>
      <c r="G116" s="18" t="n">
        <v>30.0</v>
      </c>
      <c r="H116" s="19" t="n">
        <v>60.87</v>
      </c>
      <c r="I116" s="19" t="n">
        <v>76.0</v>
      </c>
      <c r="J116" s="19" t="n">
        <v>412.5</v>
      </c>
      <c r="K116" s="19" t="n">
        <v>18.09</v>
      </c>
      <c r="L116" s="19" t="str">
        <f>2280.0</f>
      </c>
      <c r="M116" s="20" t="n">
        <v>0.00039195384629311936</v>
      </c>
    </row>
    <row customHeight="1" ht="24" r="117">
      <c r="A117" s="16" t="inlineStr">
        <is>
          <t> 3.1.2.58 </t>
        </is>
      </c>
      <c r="B117" s="18" t="inlineStr">
        <is>
          <t> 078090 </t>
        </is>
      </c>
      <c r="C117" s="16" t="inlineStr">
        <is>
          <t>SBC</t>
        </is>
      </c>
      <c r="D117" s="16" t="inlineStr">
        <is>
          <t>TERMINAL DE COMPRESSAO COBRE ESTANHADO 4AWG-16mm2</t>
        </is>
      </c>
      <c r="E117" s="16" t="n">
        <v>78</v>
      </c>
      <c r="F117" s="17" t="inlineStr">
        <is>
          <t>UN</t>
        </is>
      </c>
      <c r="G117" s="18" t="n">
        <v>45.0</v>
      </c>
      <c r="H117" s="19" t="n">
        <v>13.64</v>
      </c>
      <c r="I117" s="19" t="n">
        <v>17.03</v>
      </c>
      <c r="J117" s="19" t="n">
        <v>498.15</v>
      </c>
      <c r="K117" s="19" t="n">
        <v>65.0</v>
      </c>
      <c r="L117" s="19" t="str">
        <f>766.35</f>
      </c>
      <c r="M117" s="20" t="n">
        <v>0.00013174290794154913</v>
      </c>
    </row>
    <row customHeight="1" ht="24" r="118">
      <c r="A118" s="16" t="inlineStr">
        <is>
          <t> 3.1.2.59 </t>
        </is>
      </c>
      <c r="B118" s="18" t="inlineStr">
        <is>
          <t> SPDA-TER-050 </t>
        </is>
      </c>
      <c r="C118" s="16" t="inlineStr">
        <is>
          <t>SETOP</t>
        </is>
      </c>
      <c r="D118" s="16" t="inlineStr">
        <is>
          <t>TERMINAL A COMPRESSAO EM COBRE ESTANHADO 2 FUROS PARA CABO 50 MM2</t>
        </is>
      </c>
      <c r="E118" s="16" t="inlineStr">
        <is>
          <t/>
        </is>
      </c>
      <c r="F118" s="17" t="inlineStr">
        <is>
          <t>U</t>
        </is>
      </c>
      <c r="G118" s="18" t="n">
        <v>4.0</v>
      </c>
      <c r="H118" s="19" t="n">
        <v>15.88</v>
      </c>
      <c r="I118" s="19" t="n">
        <v>19.82</v>
      </c>
      <c r="J118" s="19" t="n">
        <v>45.64</v>
      </c>
      <c r="K118" s="19" t="n">
        <v>57.57</v>
      </c>
      <c r="L118" s="19" t="str">
        <f>79.28</f>
      </c>
      <c r="M118" s="20" t="n">
        <v>1.3628991637771274e-05</v>
      </c>
    </row>
    <row customHeight="1" ht="24" r="119">
      <c r="A119" s="16" t="inlineStr">
        <is>
          <t> 3.1.2.60 </t>
        </is>
      </c>
      <c r="B119" s="18" t="inlineStr">
        <is>
          <t> 061351 </t>
        </is>
      </c>
      <c r="C119" s="16" t="inlineStr">
        <is>
          <t>SBC</t>
        </is>
      </c>
      <c r="D119" s="16" t="inlineStr">
        <is>
          <t>TERMINAL SAPATA DE COBRE PARA CABO 16mm2</t>
        </is>
      </c>
      <c r="E119" s="16" t="n">
        <v>61</v>
      </c>
      <c r="F119" s="17" t="inlineStr">
        <is>
          <t>UN</t>
        </is>
      </c>
      <c r="G119" s="18" t="n">
        <v>21.0</v>
      </c>
      <c r="H119" s="19" t="n">
        <v>19.52</v>
      </c>
      <c r="I119" s="19" t="n">
        <v>24.37</v>
      </c>
      <c r="J119" s="19" t="n">
        <v>14.07</v>
      </c>
      <c r="K119" s="19" t="n">
        <v>2.75</v>
      </c>
      <c r="L119" s="19" t="str">
        <f>511.77</f>
      </c>
      <c r="M119" s="20" t="n">
        <v>8.797816663045161e-05</v>
      </c>
    </row>
    <row customHeight="1" ht="24" r="120">
      <c r="A120" s="16" t="inlineStr">
        <is>
          <t> 3.1.2.61 </t>
        </is>
      </c>
      <c r="B120" s="18" t="inlineStr">
        <is>
          <t> 065815 </t>
        </is>
      </c>
      <c r="C120" s="16" t="inlineStr">
        <is>
          <t>SBC</t>
        </is>
      </c>
      <c r="D120" s="16" t="inlineStr">
        <is>
          <t>TRANSFORMADOR DE FORCA A SECO 750 KVA/13.800-380/220V</t>
        </is>
      </c>
      <c r="E120" s="16" t="n">
        <v>65</v>
      </c>
      <c r="F120" s="17" t="inlineStr">
        <is>
          <t>UN</t>
        </is>
      </c>
      <c r="G120" s="18" t="n">
        <v>2.0</v>
      </c>
      <c r="H120" s="19" t="n">
        <v>51652.87</v>
      </c>
      <c r="I120" s="19" t="n">
        <v>64493.77</v>
      </c>
      <c r="J120" s="19" t="n">
        <v>3166.62</v>
      </c>
      <c r="K120" s="19" t="n">
        <v>2.45</v>
      </c>
      <c r="L120" s="19" t="str">
        <f>128987.54</f>
      </c>
      <c r="M120" s="20" t="n">
        <v>0.02217419404688052</v>
      </c>
    </row>
    <row customHeight="1" ht="24" r="121">
      <c r="A121" s="16" t="inlineStr">
        <is>
          <t> 3.1.2.62 </t>
        </is>
      </c>
      <c r="B121" s="18" t="inlineStr">
        <is>
          <t> 052241 </t>
        </is>
      </c>
      <c r="C121" s="16" t="inlineStr">
        <is>
          <t>SBC</t>
        </is>
      </c>
      <c r="D121" s="16" t="inlineStr">
        <is>
          <t>TUBO PVC SOLDAVEL 75mm COM CONEXOES</t>
        </is>
      </c>
      <c r="E121" s="16" t="n">
        <v>52</v>
      </c>
      <c r="F121" s="17" t="inlineStr">
        <is>
          <t>M</t>
        </is>
      </c>
      <c r="G121" s="18" t="n">
        <v>8.0</v>
      </c>
      <c r="H121" s="19" t="n">
        <v>275.11</v>
      </c>
      <c r="I121" s="19" t="n">
        <v>343.5</v>
      </c>
      <c r="J121" s="19" t="n">
        <v>622.56</v>
      </c>
      <c r="K121" s="19" t="n">
        <v>22.66</v>
      </c>
      <c r="L121" s="19" t="str">
        <f>2748.0</f>
      </c>
      <c r="M121" s="20" t="n">
        <v>0.0004724075305322333</v>
      </c>
    </row>
    <row customHeight="1" ht="24" r="122">
      <c r="A122" s="16" t="inlineStr">
        <is>
          <t> 3.1.2.63 </t>
        </is>
      </c>
      <c r="B122" s="18" t="inlineStr">
        <is>
          <t> 09.80.012 </t>
        </is>
      </c>
      <c r="C122" s="16" t="inlineStr">
        <is>
          <t>FDE</t>
        </is>
      </c>
      <c r="D122" s="16" t="inlineStr">
        <is>
          <t>VERGALHAO DE COBRE DE 3/8" (10MM)</t>
        </is>
      </c>
      <c r="E122" s="16" t="n">
        <v>9.8</v>
      </c>
      <c r="F122" s="17" t="inlineStr">
        <is>
          <t>M</t>
        </is>
      </c>
      <c r="G122" s="18" t="n">
        <v>4.0</v>
      </c>
      <c r="H122" s="19" t="n">
        <v>91.12</v>
      </c>
      <c r="I122" s="19" t="n">
        <v>113.77</v>
      </c>
      <c r="J122" s="19" t="n">
        <v>78.72</v>
      </c>
      <c r="K122" s="19" t="n">
        <v>17.3</v>
      </c>
      <c r="L122" s="19" t="str">
        <f>455.08</f>
      </c>
      <c r="M122" s="20" t="n">
        <v>7.823261244345296e-05</v>
      </c>
    </row>
    <row customHeight="1" ht="36" r="123">
      <c r="A123" s="16" t="inlineStr">
        <is>
          <t> 3.1.2.64 </t>
        </is>
      </c>
      <c r="B123" s="18" t="inlineStr">
        <is>
          <t> 37.14.320 </t>
        </is>
      </c>
      <c r="C123" s="16" t="inlineStr">
        <is>
          <t>CPOS</t>
        </is>
      </c>
      <c r="D123" s="16" t="inlineStr">
        <is>
          <t>Chave seccionadora sob carga, tripolar, acionamento rotativo, com prolongador, sem porta-fusível, de 400 A</t>
        </is>
      </c>
      <c r="E123" s="16" t="n">
        <v>37.14</v>
      </c>
      <c r="F123" s="17" t="inlineStr">
        <is>
          <t>un</t>
        </is>
      </c>
      <c r="G123" s="18" t="n">
        <v>6.0</v>
      </c>
      <c r="H123" s="19" t="n">
        <v>1899.72</v>
      </c>
      <c r="I123" s="19" t="n">
        <v>2371.99</v>
      </c>
      <c r="J123" s="19" t="n">
        <v>314.1</v>
      </c>
      <c r="K123" s="19" t="n">
        <v>2.21</v>
      </c>
      <c r="L123" s="19" t="str">
        <f>14231.94</f>
      </c>
      <c r="M123" s="20" t="n">
        <v>0.0024466068522863583</v>
      </c>
    </row>
    <row customHeight="1" ht="24" r="124">
      <c r="A124" s="8" t="inlineStr">
        <is>
          <t> 3.1.3 </t>
        </is>
      </c>
      <c r="B124" s="8"/>
      <c r="C124" s="8"/>
      <c r="D124" s="8" t="inlineStr">
        <is>
          <t>Quadro e Alimentadores em BT</t>
        </is>
      </c>
      <c r="E124" s="8"/>
      <c r="F124" s="8"/>
      <c r="G124" s="10"/>
      <c r="H124" s="8"/>
      <c r="I124" s="8"/>
      <c r="J124" s="8"/>
      <c r="K124" s="8"/>
      <c r="L124" s="11" t="n">
        <v>1104317.66</v>
      </c>
      <c r="M124" s="12" t="n">
        <v>0.1898427870028146</v>
      </c>
    </row>
    <row customHeight="1" ht="24" r="125">
      <c r="A125" s="16" t="inlineStr">
        <is>
          <t> 3.1.3.1 </t>
        </is>
      </c>
      <c r="B125" s="18" t="inlineStr">
        <is>
          <t> C2681 </t>
        </is>
      </c>
      <c r="C125" s="16" t="inlineStr">
        <is>
          <t>SEINFRA</t>
        </is>
      </c>
      <c r="D125" s="16" t="inlineStr">
        <is>
          <t>VOLTÍMETRO (144X144)MM, ESC. 0-500V</t>
        </is>
      </c>
      <c r="E125" s="16" t="inlineStr">
        <is>
          <t>APARELHOS ELÉTRICOS</t>
        </is>
      </c>
      <c r="F125" s="17" t="inlineStr">
        <is>
          <t>UN</t>
        </is>
      </c>
      <c r="G125" s="18" t="n">
        <v>16.0</v>
      </c>
      <c r="H125" s="19" t="n">
        <v>188.36</v>
      </c>
      <c r="I125" s="19" t="n">
        <v>235.18</v>
      </c>
      <c r="J125" s="19" t="n">
        <v>918.24</v>
      </c>
      <c r="K125" s="19" t="n">
        <v>24.4</v>
      </c>
      <c r="L125" s="19" t="str">
        <f>3762.88</f>
      </c>
      <c r="M125" s="20" t="n">
        <v>0.0006468751268155496</v>
      </c>
    </row>
    <row customHeight="1" ht="24" r="126">
      <c r="A126" s="16" t="inlineStr">
        <is>
          <t> 3.1.3.2 </t>
        </is>
      </c>
      <c r="B126" s="18" t="inlineStr">
        <is>
          <t> 090847 </t>
        </is>
      </c>
      <c r="C126" s="16" t="inlineStr">
        <is>
          <t>SIURB</t>
        </is>
      </c>
      <c r="D126" s="16" t="inlineStr">
        <is>
          <t>DISJUNTOR CAIXA MOLDADA TRIPOLAR 125A COM DISPARADOR TERMOMAGNÉTICO AJUSTÁVEL</t>
        </is>
      </c>
      <c r="E126" s="16" t="inlineStr">
        <is>
          <t>Edificações</t>
        </is>
      </c>
      <c r="F126" s="17" t="inlineStr">
        <is>
          <t>UN</t>
        </is>
      </c>
      <c r="G126" s="18" t="n">
        <v>3.0</v>
      </c>
      <c r="H126" s="19" t="n">
        <v>973.06</v>
      </c>
      <c r="I126" s="19" t="n">
        <v>1214.96</v>
      </c>
      <c r="J126" s="19" t="n">
        <v>382.8</v>
      </c>
      <c r="K126" s="19" t="n">
        <v>10.5</v>
      </c>
      <c r="L126" s="19" t="str">
        <f>3644.88</f>
      </c>
      <c r="M126" s="20" t="n">
        <v>0.0006265897961740635</v>
      </c>
    </row>
    <row customHeight="1" ht="24" r="127">
      <c r="A127" s="16" t="inlineStr">
        <is>
          <t> 3.1.3.3 </t>
        </is>
      </c>
      <c r="B127" s="18" t="inlineStr">
        <is>
          <t> 090846 </t>
        </is>
      </c>
      <c r="C127" s="16" t="inlineStr">
        <is>
          <t>SIURB</t>
        </is>
      </c>
      <c r="D127" s="16" t="inlineStr">
        <is>
          <t>DISJUNTOR CAIXA MOLDADA TRIPOLAR 100A COM DISPARADOR TERMOMAGNÉTICO AJUSTÁVEL</t>
        </is>
      </c>
      <c r="E127" s="16" t="inlineStr">
        <is>
          <t>Edificações</t>
        </is>
      </c>
      <c r="F127" s="17" t="inlineStr">
        <is>
          <t>UN</t>
        </is>
      </c>
      <c r="G127" s="18" t="n">
        <v>2.0</v>
      </c>
      <c r="H127" s="19" t="n">
        <v>973.06</v>
      </c>
      <c r="I127" s="19" t="n">
        <v>1214.96</v>
      </c>
      <c r="J127" s="19" t="n">
        <v>255.2</v>
      </c>
      <c r="K127" s="19" t="n">
        <v>10.5</v>
      </c>
      <c r="L127" s="19" t="str">
        <f>2429.92</f>
      </c>
      <c r="M127" s="20" t="n">
        <v>0.000417726530782709</v>
      </c>
    </row>
    <row customHeight="1" ht="24" r="128">
      <c r="A128" s="16" t="inlineStr">
        <is>
          <t> 3.1.3.4 </t>
        </is>
      </c>
      <c r="B128" s="18" t="inlineStr">
        <is>
          <t> 9005 </t>
        </is>
      </c>
      <c r="C128" s="16" t="inlineStr">
        <is>
          <t>ORSE</t>
        </is>
      </c>
      <c r="D128" s="16" t="inlineStr">
        <is>
          <t>Disjuntor tripolar  80 A com caixa moldada 10 kA</t>
        </is>
      </c>
      <c r="E128" s="16" t="inlineStr">
        <is>
          <t>Fusíveis, Disjuntores e Chaves</t>
        </is>
      </c>
      <c r="F128" s="17" t="inlineStr">
        <is>
          <t>un</t>
        </is>
      </c>
      <c r="G128" s="18" t="n">
        <v>5.0</v>
      </c>
      <c r="H128" s="19" t="n">
        <v>450.74</v>
      </c>
      <c r="I128" s="19" t="n">
        <v>562.79</v>
      </c>
      <c r="J128" s="19" t="n">
        <v>103.2</v>
      </c>
      <c r="K128" s="19" t="n">
        <v>3.67</v>
      </c>
      <c r="L128" s="19" t="str">
        <f>2813.95</f>
      </c>
      <c r="M128" s="20" t="n">
        <v>0.0004837449674458435</v>
      </c>
    </row>
    <row customHeight="1" ht="24" r="129">
      <c r="A129" s="16" t="inlineStr">
        <is>
          <t> 3.1.3.5 </t>
        </is>
      </c>
      <c r="B129" s="18" t="inlineStr">
        <is>
          <t> 9687 </t>
        </is>
      </c>
      <c r="C129" s="16" t="inlineStr">
        <is>
          <t>ORSE</t>
        </is>
      </c>
      <c r="D129" s="16" t="inlineStr">
        <is>
          <t>Disjuntor termomagnético tripolar 63 A com caixa moldada 10 kA</t>
        </is>
      </c>
      <c r="E129" s="16" t="inlineStr">
        <is>
          <t>Fusíveis, Disjuntores e Chaves</t>
        </is>
      </c>
      <c r="F129" s="17" t="inlineStr">
        <is>
          <t>un</t>
        </is>
      </c>
      <c r="G129" s="18" t="n">
        <v>2.0</v>
      </c>
      <c r="H129" s="19" t="n">
        <v>471.74</v>
      </c>
      <c r="I129" s="19" t="n">
        <v>589.01</v>
      </c>
      <c r="J129" s="19" t="n">
        <v>41.28</v>
      </c>
      <c r="K129" s="19" t="n">
        <v>3.5</v>
      </c>
      <c r="L129" s="19" t="str">
        <f>1178.02</f>
      </c>
      <c r="M129" s="20" t="n">
        <v>0.00020251292544307915</v>
      </c>
    </row>
    <row customHeight="1" ht="24" r="130">
      <c r="A130" s="16" t="inlineStr">
        <is>
          <t> 3.1.3.6 </t>
        </is>
      </c>
      <c r="B130" s="18" t="inlineStr">
        <is>
          <t> 93671 </t>
        </is>
      </c>
      <c r="C130" s="16" t="inlineStr">
        <is>
          <t>SINAPI</t>
        </is>
      </c>
      <c r="D130" s="16" t="inlineStr">
        <is>
          <t>DISJUNTOR TRIPOLAR TIPO DIN, CORRENTE NOMINAL DE 32A - FORNECIMENTO E INSTALAÇÃO. AF_04/2016</t>
        </is>
      </c>
      <c r="E130" s="16" t="inlineStr">
        <is>
          <t>INEL - INSTALAÇÃO ELÉTRICA/ELETRIFICAÇÃO E ILUMINAÇÃO EXTERNA</t>
        </is>
      </c>
      <c r="F130" s="17" t="inlineStr">
        <is>
          <t>UN</t>
        </is>
      </c>
      <c r="G130" s="18" t="n">
        <v>3.0</v>
      </c>
      <c r="H130" s="19" t="n">
        <v>59.67</v>
      </c>
      <c r="I130" s="19" t="n">
        <v>74.5</v>
      </c>
      <c r="J130" s="19" t="n">
        <v>28.35</v>
      </c>
      <c r="K130" s="19" t="n">
        <v>12.68</v>
      </c>
      <c r="L130" s="19" t="str">
        <f>223.5</f>
      </c>
      <c r="M130" s="20" t="n">
        <v>3.842179151162815e-05</v>
      </c>
    </row>
    <row customHeight="1" ht="24" r="131">
      <c r="A131" s="16" t="inlineStr">
        <is>
          <t> 3.1.3.7 </t>
        </is>
      </c>
      <c r="B131" s="18" t="inlineStr">
        <is>
          <t> 93669 </t>
        </is>
      </c>
      <c r="C131" s="16" t="inlineStr">
        <is>
          <t>SINAPI</t>
        </is>
      </c>
      <c r="D131" s="16" t="inlineStr">
        <is>
          <t>DISJUNTOR TRIPOLAR TIPO DIN, CORRENTE NOMINAL DE 20A - FORNECIMENTO E INSTALAÇÃO. AF_04/2016</t>
        </is>
      </c>
      <c r="E131" s="16" t="inlineStr">
        <is>
          <t>INEL - INSTALAÇÃO ELÉTRICA/ELETRIFICAÇÃO E ILUMINAÇÃO EXTERNA</t>
        </is>
      </c>
      <c r="F131" s="17" t="inlineStr">
        <is>
          <t>UN</t>
        </is>
      </c>
      <c r="G131" s="18" t="n">
        <v>1.0</v>
      </c>
      <c r="H131" s="19" t="n">
        <v>56.53</v>
      </c>
      <c r="I131" s="19" t="n">
        <v>70.58</v>
      </c>
      <c r="J131" s="19" t="n">
        <v>6.86</v>
      </c>
      <c r="K131" s="19" t="n">
        <v>9.72</v>
      </c>
      <c r="L131" s="19" t="str">
        <f>70.58</f>
      </c>
      <c r="M131" s="20" t="n">
        <v>1.213337827691595e-05</v>
      </c>
    </row>
    <row customHeight="1" ht="24" r="132">
      <c r="A132" s="16" t="inlineStr">
        <is>
          <t> 3.1.3.8 </t>
        </is>
      </c>
      <c r="B132" s="18" t="inlineStr">
        <is>
          <t> 369 </t>
        </is>
      </c>
      <c r="C132" s="16" t="inlineStr">
        <is>
          <t>Próprio</t>
        </is>
      </c>
      <c r="D132" s="16" t="inlineStr">
        <is>
          <t>Amperímetro. Fornecimento e Instalação</t>
        </is>
      </c>
      <c r="E132" s="16" t="inlineStr">
        <is>
          <t>INEL - INSTALAÇÃO ELÉTRICA/ELETRIFICAÇÃO E ILUMINAÇÃO EXTERNA</t>
        </is>
      </c>
      <c r="F132" s="17" t="inlineStr">
        <is>
          <t>UN</t>
        </is>
      </c>
      <c r="G132" s="18" t="n">
        <v>12.0</v>
      </c>
      <c r="H132" s="19" t="n">
        <v>204.49</v>
      </c>
      <c r="I132" s="19" t="n">
        <v>255.32</v>
      </c>
      <c r="J132" s="19" t="n">
        <v>118.44</v>
      </c>
      <c r="K132" s="19" t="n">
        <v>3.87</v>
      </c>
      <c r="L132" s="19" t="str">
        <f>3063.84</f>
      </c>
      <c r="M132" s="20" t="n">
        <v>0.0005267034528187328</v>
      </c>
    </row>
    <row customHeight="1" ht="48" r="133">
      <c r="A133" s="16" t="inlineStr">
        <is>
          <t> 3.1.3.9 </t>
        </is>
      </c>
      <c r="B133" s="18" t="inlineStr">
        <is>
          <t> 360 </t>
        </is>
      </c>
      <c r="C133" s="16" t="inlineStr">
        <is>
          <t>Próprio</t>
        </is>
      </c>
      <c r="D133" s="16" t="inlineStr">
        <is>
          <t>CABO DE COBRE, RIGIDO, CLASSE 2, COMPACTADO, BLINDADO, ISOLACAO EM EPR OU XLPE, COBERTURA ANTICHAMA EM PVC, PEAD OU HFFR, 1 CONDUTOR, 20/35 KV, SECAO NOMINAL 240 MM2. FORNECIMENTO E INSTALAÇÃO</t>
        </is>
      </c>
      <c r="E133" s="16" t="inlineStr">
        <is>
          <t>INEL - INSTALAÇÃO ELÉTRICA/ELETRIFICAÇÃO E ILUMINAÇÃO EXTERNA</t>
        </is>
      </c>
      <c r="F133" s="17" t="inlineStr">
        <is>
          <t>M</t>
        </is>
      </c>
      <c r="G133" s="18" t="n">
        <v>960.0</v>
      </c>
      <c r="H133" s="19" t="n">
        <v>377.03</v>
      </c>
      <c r="I133" s="19" t="n">
        <v>470.75</v>
      </c>
      <c r="J133" s="19" t="n">
        <v>10310.4</v>
      </c>
      <c r="K133" s="19" t="n">
        <v>2.28</v>
      </c>
      <c r="L133" s="19" t="str">
        <f>451920.0</f>
      </c>
      <c r="M133" s="20" t="n">
        <v>0.07768937816525724</v>
      </c>
    </row>
    <row customHeight="1" ht="24" r="134">
      <c r="A134" s="16" t="inlineStr">
        <is>
          <t> 3.1.3.10 </t>
        </is>
      </c>
      <c r="B134" s="18" t="inlineStr">
        <is>
          <t> 371 </t>
        </is>
      </c>
      <c r="C134" s="16" t="inlineStr">
        <is>
          <t>Próprio</t>
        </is>
      </c>
      <c r="D134" s="16" t="inlineStr">
        <is>
          <t>Chave comutadora de voltímetro. Fornecimento e Instalação.</t>
        </is>
      </c>
      <c r="E134" s="16" t="inlineStr">
        <is>
          <t>INEL - INSTALAÇÃO ELÉTRICA/ELETRIFICAÇÃO E ILUMINAÇÃO EXTERNA</t>
        </is>
      </c>
      <c r="F134" s="17" t="inlineStr">
        <is>
          <t>UN</t>
        </is>
      </c>
      <c r="G134" s="18" t="n">
        <v>16.0</v>
      </c>
      <c r="H134" s="19" t="n">
        <v>136.38</v>
      </c>
      <c r="I134" s="19" t="n">
        <v>170.28</v>
      </c>
      <c r="J134" s="19" t="n">
        <v>252.8</v>
      </c>
      <c r="K134" s="19" t="n">
        <v>9.28</v>
      </c>
      <c r="L134" s="19" t="str">
        <f>2724.48</f>
      </c>
      <c r="M134" s="20" t="n">
        <v>0.0004683642171704727</v>
      </c>
    </row>
    <row customHeight="1" ht="24" r="135">
      <c r="A135" s="16" t="inlineStr">
        <is>
          <t> 3.1.3.11 </t>
        </is>
      </c>
      <c r="B135" s="18" t="inlineStr">
        <is>
          <t> 372 </t>
        </is>
      </c>
      <c r="C135" s="16" t="inlineStr">
        <is>
          <t>Próprio</t>
        </is>
      </c>
      <c r="D135" s="16" t="inlineStr">
        <is>
          <t>Isolador epoxi  BT 50x50. FORNECIMENTO E INSTALAÇÃO</t>
        </is>
      </c>
      <c r="E135" s="16" t="inlineStr">
        <is>
          <t>INEL - INSTALAÇÃO ELÉTRICA/ELETRIFICAÇÃO E ILUMINAÇÃO EXTERNA</t>
        </is>
      </c>
      <c r="F135" s="17" t="inlineStr">
        <is>
          <t>UN</t>
        </is>
      </c>
      <c r="G135" s="18" t="n">
        <v>40.0</v>
      </c>
      <c r="H135" s="19" t="n">
        <v>38.04</v>
      </c>
      <c r="I135" s="19" t="n">
        <v>47.49</v>
      </c>
      <c r="J135" s="19" t="n">
        <v>473.6</v>
      </c>
      <c r="K135" s="19" t="n">
        <v>24.93</v>
      </c>
      <c r="L135" s="19" t="str">
        <f>1899.6</f>
      </c>
      <c r="M135" s="20" t="n">
        <v>0.00032655944141158315</v>
      </c>
    </row>
    <row customHeight="1" ht="24" r="136">
      <c r="A136" s="16" t="inlineStr">
        <is>
          <t> 3.1.3.12 </t>
        </is>
      </c>
      <c r="B136" s="18" t="inlineStr">
        <is>
          <t> 39.10.300 </t>
        </is>
      </c>
      <c r="C136" s="16" t="inlineStr">
        <is>
          <t>CPOS</t>
        </is>
      </c>
      <c r="D136" s="16" t="inlineStr">
        <is>
          <t>Terminal de pressão/compressão para cabo de 240 mm²</t>
        </is>
      </c>
      <c r="E136" s="16" t="n">
        <v>39.1</v>
      </c>
      <c r="F136" s="17" t="inlineStr">
        <is>
          <t>UN</t>
        </is>
      </c>
      <c r="G136" s="18" t="n">
        <v>100.0</v>
      </c>
      <c r="H136" s="19" t="n">
        <v>44.52</v>
      </c>
      <c r="I136" s="19" t="n">
        <v>55.58</v>
      </c>
      <c r="J136" s="19" t="n">
        <v>1046.0</v>
      </c>
      <c r="K136" s="19" t="n">
        <v>18.82</v>
      </c>
      <c r="L136" s="19" t="str">
        <f>5558.0</f>
      </c>
      <c r="M136" s="20" t="n">
        <v>0.0009554734551303322</v>
      </c>
    </row>
    <row customHeight="1" ht="24" r="137">
      <c r="A137" s="16" t="inlineStr">
        <is>
          <t> 3.1.3.13 </t>
        </is>
      </c>
      <c r="B137" s="18" t="inlineStr">
        <is>
          <t> 39.10.300 </t>
        </is>
      </c>
      <c r="C137" s="16" t="inlineStr">
        <is>
          <t>CPOS</t>
        </is>
      </c>
      <c r="D137" s="16" t="inlineStr">
        <is>
          <t>Terminal de pressão/compressão para cabo de 240 mm²</t>
        </is>
      </c>
      <c r="E137" s="16" t="n">
        <v>39.1</v>
      </c>
      <c r="F137" s="17" t="inlineStr">
        <is>
          <t>UN</t>
        </is>
      </c>
      <c r="G137" s="18" t="n">
        <v>12.0</v>
      </c>
      <c r="H137" s="19" t="n">
        <v>44.52</v>
      </c>
      <c r="I137" s="19" t="n">
        <v>55.58</v>
      </c>
      <c r="J137" s="19" t="n">
        <v>125.52</v>
      </c>
      <c r="K137" s="19" t="n">
        <v>18.82</v>
      </c>
      <c r="L137" s="19" t="str">
        <f>666.96</f>
      </c>
      <c r="M137" s="20" t="n">
        <v>0.00011465681461563986</v>
      </c>
    </row>
    <row customHeight="1" ht="36" r="138">
      <c r="A138" s="16" t="inlineStr">
        <is>
          <t> 3.1.3.14 </t>
        </is>
      </c>
      <c r="B138" s="18" t="inlineStr">
        <is>
          <t> 361 </t>
        </is>
      </c>
      <c r="C138" s="16" t="inlineStr">
        <is>
          <t>Próprio</t>
        </is>
      </c>
      <c r="D138" s="16" t="inlineStr">
        <is>
          <t>DISJUNTOR TERMICO E MAGNETICO AJUSTAVEIS, TRIPOLAR DE 300 ATE 400A, CAPACIDADE DE INTERRUPCAO DE 35KA - FORNECIMENTO E INSTALAÇÃO.</t>
        </is>
      </c>
      <c r="E138" s="16" t="inlineStr">
        <is>
          <t>INEL - INSTALAÇÃO ELÉTRICA/ELETRIFICAÇÃO E ILUMINAÇÃO EXTERNA</t>
        </is>
      </c>
      <c r="F138" s="17" t="inlineStr">
        <is>
          <t>UN</t>
        </is>
      </c>
      <c r="G138" s="18" t="n">
        <v>6.0</v>
      </c>
      <c r="H138" s="19" t="n">
        <v>1402.38</v>
      </c>
      <c r="I138" s="19" t="n">
        <v>1751.01</v>
      </c>
      <c r="J138" s="19" t="n">
        <v>274.68</v>
      </c>
      <c r="K138" s="19" t="n">
        <v>2.61</v>
      </c>
      <c r="L138" s="19" t="str">
        <f>10506.06</f>
      </c>
      <c r="M138" s="20" t="n">
        <v>0.0018060923799939866</v>
      </c>
    </row>
    <row customHeight="1" ht="24" r="139">
      <c r="A139" s="16" t="inlineStr">
        <is>
          <t> 3.1.3.15 </t>
        </is>
      </c>
      <c r="B139" s="18" t="inlineStr">
        <is>
          <t> 36.08.290 </t>
        </is>
      </c>
      <c r="C139" s="16" t="inlineStr">
        <is>
          <t>CPOS</t>
        </is>
      </c>
      <c r="D139" s="16" t="inlineStr">
        <is>
          <t>Grupo gerador com potência de 563/513 kVA, variação de + ou - 10% - completo</t>
        </is>
      </c>
      <c r="E139" s="16" t="n">
        <v>36.08</v>
      </c>
      <c r="F139" s="17" t="inlineStr">
        <is>
          <t>UN</t>
        </is>
      </c>
      <c r="G139" s="18" t="n">
        <v>1.0</v>
      </c>
      <c r="H139" s="19" t="n">
        <v>313008.66</v>
      </c>
      <c r="I139" s="19" t="n">
        <v>390822.61</v>
      </c>
      <c r="J139" s="19" t="n">
        <v>2233.32</v>
      </c>
      <c r="K139" s="19" t="n">
        <v>0.57</v>
      </c>
      <c r="L139" s="19" t="str">
        <f>390822.61</f>
      </c>
      <c r="M139" s="20" t="n">
        <v>0.06718615140693672</v>
      </c>
    </row>
    <row customHeight="1" ht="36" r="140">
      <c r="A140" s="16" t="inlineStr">
        <is>
          <t> 3.1.3.16 </t>
        </is>
      </c>
      <c r="B140" s="18" t="inlineStr">
        <is>
          <t> 373 </t>
        </is>
      </c>
      <c r="C140" s="16" t="inlineStr">
        <is>
          <t>Próprio</t>
        </is>
      </c>
      <c r="D140" s="16" t="inlineStr">
        <is>
          <t>Transformador de corrente relação de transformação 200-5A, tipo seco, classe de tensão 15KV. Fornecimento e instalação</t>
        </is>
      </c>
      <c r="E140" s="16" t="inlineStr">
        <is>
          <t>ASTU - ASSENTAMENTO DE TUBOS E PECAS</t>
        </is>
      </c>
      <c r="F140" s="17" t="inlineStr">
        <is>
          <t>un</t>
        </is>
      </c>
      <c r="G140" s="18" t="n">
        <v>12.0</v>
      </c>
      <c r="H140" s="19" t="n">
        <v>1503.1</v>
      </c>
      <c r="I140" s="19" t="n">
        <v>1876.77</v>
      </c>
      <c r="J140" s="19" t="n">
        <v>716.88</v>
      </c>
      <c r="K140" s="19" t="n">
        <v>3.18</v>
      </c>
      <c r="L140" s="19" t="str">
        <f>22521.24</f>
      </c>
      <c r="M140" s="20" t="n">
        <v>0.0038716169479344085</v>
      </c>
    </row>
    <row customHeight="1" ht="24" r="141">
      <c r="A141" s="16" t="inlineStr">
        <is>
          <t> 3.1.3.17 </t>
        </is>
      </c>
      <c r="B141" s="18" t="inlineStr">
        <is>
          <t> 377 </t>
        </is>
      </c>
      <c r="C141" s="16" t="inlineStr">
        <is>
          <t>Próprio</t>
        </is>
      </c>
      <c r="D141" s="16" t="inlineStr">
        <is>
          <t>Painel modular UCB- 3 1080 x 540 x 360 . Fornecimento e instalação</t>
        </is>
      </c>
      <c r="E141" s="16" t="inlineStr">
        <is>
          <t>INEL - INSTALAÇÃO ELÉTRICA/ELETRIFICAÇÃO E ILUMINAÇÃO EXTERNA</t>
        </is>
      </c>
      <c r="F141" s="17" t="inlineStr">
        <is>
          <t>un</t>
        </is>
      </c>
      <c r="G141" s="18" t="n">
        <v>12.0</v>
      </c>
      <c r="H141" s="19" t="n">
        <v>1408.03</v>
      </c>
      <c r="I141" s="19" t="n">
        <v>1758.06</v>
      </c>
      <c r="J141" s="19" t="n">
        <v>94.68</v>
      </c>
      <c r="K141" s="19" t="n">
        <v>0.45</v>
      </c>
      <c r="L141" s="19" t="str">
        <f>21096.72</f>
      </c>
      <c r="M141" s="20" t="n">
        <v>0.0036267283106004287</v>
      </c>
    </row>
    <row customHeight="1" ht="24" r="142">
      <c r="A142" s="16" t="inlineStr">
        <is>
          <t> 3.1.3.18 </t>
        </is>
      </c>
      <c r="B142" s="18" t="inlineStr">
        <is>
          <t> 375 </t>
        </is>
      </c>
      <c r="C142" s="16" t="inlineStr">
        <is>
          <t>Próprio</t>
        </is>
      </c>
      <c r="D142" s="16" t="inlineStr">
        <is>
          <t>Barra chata de cobre para barramento  qualquer dimensão. Fornecimento e instalação</t>
        </is>
      </c>
      <c r="E142" s="16" t="inlineStr">
        <is>
          <t>ASTU - ASSENTAMENTO DE TUBOS E PECAS</t>
        </is>
      </c>
      <c r="F142" s="17" t="inlineStr">
        <is>
          <t>kg</t>
        </is>
      </c>
      <c r="G142" s="18" t="n">
        <v>711.2</v>
      </c>
      <c r="H142" s="19" t="n">
        <v>202.05</v>
      </c>
      <c r="I142" s="19" t="n">
        <v>252.27</v>
      </c>
      <c r="J142" s="19" t="n">
        <v>8420.6</v>
      </c>
      <c r="K142" s="19" t="n">
        <v>4.69</v>
      </c>
      <c r="L142" s="19" t="str">
        <f>179414.42</f>
      </c>
      <c r="M142" s="20" t="n">
        <v>0.030843057894495245</v>
      </c>
    </row>
    <row customHeight="1" ht="24" r="143">
      <c r="A143" s="8" t="inlineStr">
        <is>
          <t> 3.2 </t>
        </is>
      </c>
      <c r="B143" s="8"/>
      <c r="C143" s="8"/>
      <c r="D143" s="8" t="inlineStr">
        <is>
          <t>ALIMENTADORES E ILUMINAÇÃO DAS RUAS</t>
        </is>
      </c>
      <c r="E143" s="8"/>
      <c r="F143" s="8"/>
      <c r="G143" s="10"/>
      <c r="H143" s="8"/>
      <c r="I143" s="8"/>
      <c r="J143" s="8"/>
      <c r="K143" s="8"/>
      <c r="L143" s="11" t="n">
        <v>3605919.34</v>
      </c>
      <c r="M143" s="12" t="n">
        <v>0.6198920854104151</v>
      </c>
    </row>
    <row customHeight="1" ht="24" r="144">
      <c r="A144" s="16" t="inlineStr">
        <is>
          <t> 3.2.1 </t>
        </is>
      </c>
      <c r="B144" s="18" t="inlineStr">
        <is>
          <t> 151127 </t>
        </is>
      </c>
      <c r="C144" s="16" t="inlineStr">
        <is>
          <t>IOPES</t>
        </is>
      </c>
      <c r="D144" s="16" t="inlineStr">
        <is>
          <t>Eletroduto de PVC rígido roscável, diâm. 1" (32mm), inclusive conexões</t>
        </is>
      </c>
      <c r="E144" s="16" t="inlineStr">
        <is>
          <t>ELETRODUTOS E CONEXÕES</t>
        </is>
      </c>
      <c r="F144" s="17" t="inlineStr">
        <is>
          <t>m</t>
        </is>
      </c>
      <c r="G144" s="18" t="n">
        <v>270.0</v>
      </c>
      <c r="H144" s="19" t="n">
        <v>24.23</v>
      </c>
      <c r="I144" s="19" t="n">
        <v>30.25</v>
      </c>
      <c r="J144" s="19" t="n">
        <v>5340.6</v>
      </c>
      <c r="K144" s="19" t="n">
        <v>65.39</v>
      </c>
      <c r="L144" s="19" t="str">
        <f>8167.5</f>
      </c>
      <c r="M144" s="20" t="n">
        <v>0.0014040715085960756</v>
      </c>
    </row>
    <row customHeight="1" ht="24" r="145">
      <c r="A145" s="16" t="inlineStr">
        <is>
          <t> 3.2.2 </t>
        </is>
      </c>
      <c r="B145" s="18" t="inlineStr">
        <is>
          <t> 151128 </t>
        </is>
      </c>
      <c r="C145" s="16" t="inlineStr">
        <is>
          <t>IOPES</t>
        </is>
      </c>
      <c r="D145" s="16" t="inlineStr">
        <is>
          <t>Eletroduto de PVC rígido roscável, diâm. 1 1/4" (40mm), inclusive conexões</t>
        </is>
      </c>
      <c r="E145" s="16" t="inlineStr">
        <is>
          <t>ELETRODUTOS E CONEXÕES</t>
        </is>
      </c>
      <c r="F145" s="17" t="inlineStr">
        <is>
          <t>m</t>
        </is>
      </c>
      <c r="G145" s="18" t="n">
        <v>847.0</v>
      </c>
      <c r="H145" s="19" t="n">
        <v>29.94</v>
      </c>
      <c r="I145" s="19" t="n">
        <v>37.38</v>
      </c>
      <c r="J145" s="19" t="n">
        <v>18625.53</v>
      </c>
      <c r="K145" s="19" t="n">
        <v>58.83</v>
      </c>
      <c r="L145" s="19" t="str">
        <f>31660.86</f>
      </c>
      <c r="M145" s="20" t="n">
        <v>0.005442805199099988</v>
      </c>
    </row>
    <row customHeight="1" ht="24" r="146">
      <c r="A146" s="16" t="inlineStr">
        <is>
          <t> 3.2.3 </t>
        </is>
      </c>
      <c r="B146" s="18" t="inlineStr">
        <is>
          <t> 151129 </t>
        </is>
      </c>
      <c r="C146" s="16" t="inlineStr">
        <is>
          <t>IOPES</t>
        </is>
      </c>
      <c r="D146" s="16" t="inlineStr">
        <is>
          <t>Eletroduto de PVC rígido roscável, diâm. 1 1/2" (50mm), inclusive conexões</t>
        </is>
      </c>
      <c r="E146" s="16" t="inlineStr">
        <is>
          <t>ELETRODUTOS E CONEXÕES</t>
        </is>
      </c>
      <c r="F146" s="17" t="inlineStr">
        <is>
          <t>m</t>
        </is>
      </c>
      <c r="G146" s="18" t="n">
        <v>1562.0</v>
      </c>
      <c r="H146" s="19" t="n">
        <v>35.72</v>
      </c>
      <c r="I146" s="19" t="n">
        <v>44.59</v>
      </c>
      <c r="J146" s="19" t="n">
        <v>41221.18</v>
      </c>
      <c r="K146" s="19" t="n">
        <v>59.18</v>
      </c>
      <c r="L146" s="19" t="str">
        <f>69649.58</f>
      </c>
      <c r="M146" s="20" t="n">
        <v>0.01197343016390365</v>
      </c>
    </row>
    <row customHeight="1" ht="24" r="147">
      <c r="A147" s="16" t="inlineStr">
        <is>
          <t> 3.2.4 </t>
        </is>
      </c>
      <c r="B147" s="18" t="inlineStr">
        <is>
          <t> 151130 </t>
        </is>
      </c>
      <c r="C147" s="16" t="inlineStr">
        <is>
          <t>IOPES</t>
        </is>
      </c>
      <c r="D147" s="16" t="inlineStr">
        <is>
          <t>Eletroduto de PVC rígido roscável, diâm. 2" (60mm), inclusive conexões</t>
        </is>
      </c>
      <c r="E147" s="16" t="inlineStr">
        <is>
          <t>ELETRODUTOS E CONEXÕES</t>
        </is>
      </c>
      <c r="F147" s="17" t="inlineStr">
        <is>
          <t>m</t>
        </is>
      </c>
      <c r="G147" s="18" t="n">
        <v>683.0</v>
      </c>
      <c r="H147" s="19" t="n">
        <v>44.86</v>
      </c>
      <c r="I147" s="19" t="n">
        <v>56.01</v>
      </c>
      <c r="J147" s="19" t="n">
        <v>21029.57</v>
      </c>
      <c r="K147" s="19" t="n">
        <v>54.97</v>
      </c>
      <c r="L147" s="19" t="str">
        <f>38254.83</f>
      </c>
      <c r="M147" s="20" t="n">
        <v>0.006576371823591847</v>
      </c>
    </row>
    <row customHeight="1" ht="24" r="148">
      <c r="A148" s="16" t="inlineStr">
        <is>
          <t> 3.2.5 </t>
        </is>
      </c>
      <c r="B148" s="18" t="inlineStr">
        <is>
          <t> 151131 </t>
        </is>
      </c>
      <c r="C148" s="16" t="inlineStr">
        <is>
          <t>IOPES</t>
        </is>
      </c>
      <c r="D148" s="16" t="inlineStr">
        <is>
          <t>Eletroduto de PVC rígido roscável, diâm. 3" (85mm), inclusive conexões</t>
        </is>
      </c>
      <c r="E148" s="16" t="inlineStr">
        <is>
          <t>ELETRODUTOS E CONEXÕES</t>
        </is>
      </c>
      <c r="F148" s="17" t="inlineStr">
        <is>
          <t>m</t>
        </is>
      </c>
      <c r="G148" s="18" t="n">
        <v>389.0</v>
      </c>
      <c r="H148" s="19" t="n">
        <v>80.66</v>
      </c>
      <c r="I148" s="19" t="n">
        <v>100.71</v>
      </c>
      <c r="J148" s="19" t="n">
        <v>17116.0</v>
      </c>
      <c r="K148" s="19" t="n">
        <v>43.69</v>
      </c>
      <c r="L148" s="19" t="str">
        <f>39176.19</f>
      </c>
      <c r="M148" s="20" t="n">
        <v>0.006734762435793877</v>
      </c>
    </row>
    <row customHeight="1" ht="24" r="149">
      <c r="A149" s="16" t="inlineStr">
        <is>
          <t> 3.2.6 </t>
        </is>
      </c>
      <c r="B149" s="18" t="inlineStr">
        <is>
          <t> 151135 </t>
        </is>
      </c>
      <c r="C149" s="16" t="inlineStr">
        <is>
          <t>IOPES</t>
        </is>
      </c>
      <c r="D149" s="16" t="inlineStr">
        <is>
          <t>Eletroduto de PVC rígido roscável, diâm. 4" (110mm), inclusive conexões</t>
        </is>
      </c>
      <c r="E149" s="16" t="inlineStr">
        <is>
          <t>ELETRODUTOS E CONEXÕES</t>
        </is>
      </c>
      <c r="F149" s="17" t="inlineStr">
        <is>
          <t>m</t>
        </is>
      </c>
      <c r="G149" s="18" t="n">
        <v>1211.0</v>
      </c>
      <c r="H149" s="19" t="n">
        <v>120.72</v>
      </c>
      <c r="I149" s="19" t="n">
        <v>150.73</v>
      </c>
      <c r="J149" s="19" t="n">
        <v>63928.69</v>
      </c>
      <c r="K149" s="19" t="n">
        <v>35.02</v>
      </c>
      <c r="L149" s="19" t="str">
        <f>182534.03</f>
      </c>
      <c r="M149" s="20" t="n">
        <v>0.03137934874468581</v>
      </c>
    </row>
    <row customHeight="1" ht="24" r="150">
      <c r="A150" s="16" t="inlineStr">
        <is>
          <t> 3.2.7 </t>
        </is>
      </c>
      <c r="B150" s="18" t="inlineStr">
        <is>
          <t> 4005 </t>
        </is>
      </c>
      <c r="C150" s="16" t="inlineStr">
        <is>
          <t>ORSE</t>
        </is>
      </c>
      <c r="D150" s="16" t="inlineStr">
        <is>
          <t>Cabo de cobre isolado EPR ou XLPE 6,0mm²,  0,6/1kv / 90º C</t>
        </is>
      </c>
      <c r="E150" s="16" t="inlineStr">
        <is>
          <t>Pontos de Suprimento de Energia Convencionais</t>
        </is>
      </c>
      <c r="F150" s="17" t="inlineStr">
        <is>
          <t>M</t>
        </is>
      </c>
      <c r="G150" s="18" t="n">
        <v>1260.0</v>
      </c>
      <c r="H150" s="19" t="n">
        <v>11.91</v>
      </c>
      <c r="I150" s="19" t="n">
        <v>14.87</v>
      </c>
      <c r="J150" s="19" t="n">
        <v>5607.0</v>
      </c>
      <c r="K150" s="19" t="n">
        <v>29.93</v>
      </c>
      <c r="L150" s="19" t="str">
        <f>18736.2</f>
      </c>
      <c r="M150" s="20" t="n">
        <v>0.0032209323047882204</v>
      </c>
    </row>
    <row customHeight="1" ht="24" r="151">
      <c r="A151" s="16" t="inlineStr">
        <is>
          <t> 3.2.8 </t>
        </is>
      </c>
      <c r="B151" s="18" t="inlineStr">
        <is>
          <t> 9140 </t>
        </is>
      </c>
      <c r="C151" s="16" t="inlineStr">
        <is>
          <t>ORSE</t>
        </is>
      </c>
      <c r="D151" s="16" t="inlineStr">
        <is>
          <t>Cabo de cobre isolado HEPR (XLPE), rigido,  10mm²,  1kv / 90º C</t>
        </is>
      </c>
      <c r="E151" s="16" t="inlineStr">
        <is>
          <t>Interligações até Quadro Geral - Fios e Cabos</t>
        </is>
      </c>
      <c r="F151" s="17" t="inlineStr">
        <is>
          <t>m</t>
        </is>
      </c>
      <c r="G151" s="18" t="n">
        <v>890.0</v>
      </c>
      <c r="H151" s="19" t="n">
        <v>17.74</v>
      </c>
      <c r="I151" s="19" t="n">
        <v>22.15</v>
      </c>
      <c r="J151" s="19" t="n">
        <v>4574.6</v>
      </c>
      <c r="K151" s="19" t="n">
        <v>23.21</v>
      </c>
      <c r="L151" s="19" t="str">
        <f>19713.5</f>
      </c>
      <c r="M151" s="20" t="n">
        <v>0.0033889395389909687</v>
      </c>
    </row>
    <row customHeight="1" ht="24" r="152">
      <c r="A152" s="16" t="inlineStr">
        <is>
          <t> 3.2.9 </t>
        </is>
      </c>
      <c r="B152" s="18" t="inlineStr">
        <is>
          <t> 9006 </t>
        </is>
      </c>
      <c r="C152" s="16" t="inlineStr">
        <is>
          <t>ORSE</t>
        </is>
      </c>
      <c r="D152" s="16" t="inlineStr">
        <is>
          <t>Cabo de cobre isolado HEPR (XLPE), rigido,  16mm²,  1kv / 90º C</t>
        </is>
      </c>
      <c r="E152" s="16" t="inlineStr">
        <is>
          <t>Interligações até Quadro Geral - Fios e Cabos</t>
        </is>
      </c>
      <c r="F152" s="17" t="inlineStr">
        <is>
          <t>m</t>
        </is>
      </c>
      <c r="G152" s="18" t="n">
        <v>3840.0</v>
      </c>
      <c r="H152" s="19" t="n">
        <v>23.53</v>
      </c>
      <c r="I152" s="19" t="n">
        <v>29.37</v>
      </c>
      <c r="J152" s="19" t="n">
        <v>19737.6</v>
      </c>
      <c r="K152" s="19" t="n">
        <v>17.5</v>
      </c>
      <c r="L152" s="19" t="str">
        <f>112780.8</f>
      </c>
      <c r="M152" s="20" t="n">
        <v>0.019388100152638175</v>
      </c>
    </row>
    <row customHeight="1" ht="24" r="153">
      <c r="A153" s="16" t="inlineStr">
        <is>
          <t> 3.2.10 </t>
        </is>
      </c>
      <c r="B153" s="18" t="inlineStr">
        <is>
          <t> 8458 </t>
        </is>
      </c>
      <c r="C153" s="16" t="inlineStr">
        <is>
          <t>ORSE</t>
        </is>
      </c>
      <c r="D153" s="16" t="inlineStr">
        <is>
          <t>Cabo de cobre isolado HEPR (XLPE), flexível,  25mm²,  1kv / 90º C</t>
        </is>
      </c>
      <c r="E153" s="16" t="inlineStr">
        <is>
          <t>Interligações até Quadro Geral - Fios e Cabos</t>
        </is>
      </c>
      <c r="F153" s="17" t="inlineStr">
        <is>
          <t>m</t>
        </is>
      </c>
      <c r="G153" s="18" t="n">
        <v>6535.0</v>
      </c>
      <c r="H153" s="19" t="n">
        <v>34.92</v>
      </c>
      <c r="I153" s="19" t="n">
        <v>43.6</v>
      </c>
      <c r="J153" s="19" t="n">
        <v>38033.7</v>
      </c>
      <c r="K153" s="19" t="n">
        <v>13.35</v>
      </c>
      <c r="L153" s="19" t="str">
        <f>284926.0</f>
      </c>
      <c r="M153" s="20" t="n">
        <v>0.04898150947759356</v>
      </c>
    </row>
    <row customHeight="1" ht="24" r="154">
      <c r="A154" s="16" t="inlineStr">
        <is>
          <t> 3.2.11 </t>
        </is>
      </c>
      <c r="B154" s="18" t="inlineStr">
        <is>
          <t> 9007 </t>
        </is>
      </c>
      <c r="C154" s="16" t="inlineStr">
        <is>
          <t>ORSE</t>
        </is>
      </c>
      <c r="D154" s="16" t="inlineStr">
        <is>
          <t>Cabo de cobre isolado HEPR (XLPE), rigido,  35mm²,  1kv / 90º C</t>
        </is>
      </c>
      <c r="E154" s="16" t="inlineStr">
        <is>
          <t>Interligações até Quadro Geral - Fios e Cabos</t>
        </is>
      </c>
      <c r="F154" s="17" t="inlineStr">
        <is>
          <t>m</t>
        </is>
      </c>
      <c r="G154" s="18" t="n">
        <v>1944.0</v>
      </c>
      <c r="H154" s="19" t="n">
        <v>44.84</v>
      </c>
      <c r="I154" s="19" t="n">
        <v>55.98</v>
      </c>
      <c r="J154" s="19" t="n">
        <v>13355.28</v>
      </c>
      <c r="K154" s="19" t="n">
        <v>12.27</v>
      </c>
      <c r="L154" s="19" t="str">
        <f>108825.12</f>
      </c>
      <c r="M154" s="20" t="n">
        <v>0.018708080858469416</v>
      </c>
    </row>
    <row customHeight="1" ht="24" r="155">
      <c r="A155" s="16" t="inlineStr">
        <is>
          <t> 3.2.12 </t>
        </is>
      </c>
      <c r="B155" s="18" t="inlineStr">
        <is>
          <t> 8350 </t>
        </is>
      </c>
      <c r="C155" s="16" t="inlineStr">
        <is>
          <t>ORSE</t>
        </is>
      </c>
      <c r="D155" s="16" t="inlineStr">
        <is>
          <t>Cabo de cobre isolado HEPR (XLPE), rígido, 50mm², 1kv / 90º C</t>
        </is>
      </c>
      <c r="E155" s="16" t="inlineStr">
        <is>
          <t>Interligações até Quadro Geral - Fios e Cabos</t>
        </is>
      </c>
      <c r="F155" s="17" t="inlineStr">
        <is>
          <t>m</t>
        </is>
      </c>
      <c r="G155" s="18" t="n">
        <v>1605.0</v>
      </c>
      <c r="H155" s="19" t="n">
        <v>65.67</v>
      </c>
      <c r="I155" s="19" t="n">
        <v>81.99</v>
      </c>
      <c r="J155" s="19" t="n">
        <v>17093.25</v>
      </c>
      <c r="K155" s="19" t="n">
        <v>12.99</v>
      </c>
      <c r="L155" s="19" t="str">
        <f>131593.95</f>
      </c>
      <c r="M155" s="20" t="n">
        <v>0.02262226089973879</v>
      </c>
    </row>
    <row customHeight="1" ht="24" r="156">
      <c r="A156" s="16" t="inlineStr">
        <is>
          <t> 3.2.13 </t>
        </is>
      </c>
      <c r="B156" s="18" t="inlineStr">
        <is>
          <t> 9008 </t>
        </is>
      </c>
      <c r="C156" s="16" t="inlineStr">
        <is>
          <t>ORSE</t>
        </is>
      </c>
      <c r="D156" s="16" t="inlineStr">
        <is>
          <t>Cabo de cobre isolado HEPR (XLPE), rigido,  70mm²,  1kv / 90º C</t>
        </is>
      </c>
      <c r="E156" s="16" t="inlineStr">
        <is>
          <t>Interligações até Quadro Geral - Fios e Cabos</t>
        </is>
      </c>
      <c r="F156" s="17" t="inlineStr">
        <is>
          <t>m</t>
        </is>
      </c>
      <c r="G156" s="18" t="n">
        <v>2980.0</v>
      </c>
      <c r="H156" s="19" t="n">
        <v>93.61</v>
      </c>
      <c r="I156" s="19" t="n">
        <v>116.88</v>
      </c>
      <c r="J156" s="19" t="n">
        <v>33823.0</v>
      </c>
      <c r="K156" s="19" t="n">
        <v>9.71</v>
      </c>
      <c r="L156" s="19" t="str">
        <f>348302.4</f>
      </c>
      <c r="M156" s="20" t="n">
        <v>0.059876519891721304</v>
      </c>
    </row>
    <row customHeight="1" ht="24" r="157">
      <c r="A157" s="44" t="inlineStr">
        <is>
          <t> 3.2.14 </t>
        </is>
      </c>
      <c r="B157" s="46" t="inlineStr">
        <is>
          <t> 00007543 </t>
        </is>
      </c>
      <c r="C157" s="44" t="inlineStr">
        <is>
          <t>SINAPI</t>
        </is>
      </c>
      <c r="D157" s="44" t="inlineStr">
        <is>
          <t>TAMPA CEGA EM PVC PARA CONDULETE 4 X 2"</t>
        </is>
      </c>
      <c r="E157" s="44" t="inlineStr">
        <is>
          <t>Material</t>
        </is>
      </c>
      <c r="F157" s="45" t="inlineStr">
        <is>
          <t>UN</t>
        </is>
      </c>
      <c r="G157" s="46" t="n">
        <v>74.0</v>
      </c>
      <c r="H157" s="47" t="n">
        <v>3.94</v>
      </c>
      <c r="I157" s="47" t="n">
        <v>4.91</v>
      </c>
      <c r="J157" s="47" t="n">
        <v>0.0</v>
      </c>
      <c r="K157" s="47" t="n">
        <v>0.0</v>
      </c>
      <c r="L157" s="47" t="str">
        <f>363.34</f>
      </c>
      <c r="M157" s="48" t="n">
        <v>6.246162741760613e-05</v>
      </c>
    </row>
    <row customHeight="1" ht="36" r="158">
      <c r="A158" s="16" t="inlineStr">
        <is>
          <t> 3.2.15 </t>
        </is>
      </c>
      <c r="B158" s="18" t="inlineStr">
        <is>
          <t> 91939 </t>
        </is>
      </c>
      <c r="C158" s="16" t="inlineStr">
        <is>
          <t>SINAPI</t>
        </is>
      </c>
      <c r="D158" s="16" t="inlineStr">
        <is>
          <t>CAIXA RETANGULAR 4" X 2" ALTA (2,00 M DO PISO), PVC, INSTALADA EM PAREDE - FORNECIMENTO E INSTALAÇÃO. AF_12/2015</t>
        </is>
      </c>
      <c r="E158" s="16" t="inlineStr">
        <is>
          <t>INEL - INSTALAÇÃO ELÉTRICA/ELETRIFICAÇÃO E ILUMINAÇÃO EXTERNA</t>
        </is>
      </c>
      <c r="F158" s="17" t="inlineStr">
        <is>
          <t>UN</t>
        </is>
      </c>
      <c r="G158" s="18" t="n">
        <v>76.0</v>
      </c>
      <c r="H158" s="19" t="n">
        <v>21.07</v>
      </c>
      <c r="I158" s="19" t="n">
        <v>26.3</v>
      </c>
      <c r="J158" s="19" t="n">
        <v>1372.56</v>
      </c>
      <c r="K158" s="19" t="n">
        <v>68.67</v>
      </c>
      <c r="L158" s="19" t="str">
        <f>1998.8</f>
      </c>
      <c r="M158" s="20" t="n">
        <v>0.00034361287191696796</v>
      </c>
    </row>
    <row customHeight="1" ht="24" r="159">
      <c r="A159" s="16" t="inlineStr">
        <is>
          <t> 3.2.16 </t>
        </is>
      </c>
      <c r="B159" s="18" t="inlineStr">
        <is>
          <t> 4179 </t>
        </is>
      </c>
      <c r="C159" s="16" t="inlineStr">
        <is>
          <t>ORSE</t>
        </is>
      </c>
      <c r="D159" s="16" t="inlineStr">
        <is>
          <t>Cabo de cobre PP Cordplast 3 x 2,5 mm2, 450/750v - fornecimento</t>
        </is>
      </c>
      <c r="E159" s="16" t="inlineStr">
        <is>
          <t>Subestação Transformadora em Poste</t>
        </is>
      </c>
      <c r="F159" s="17" t="inlineStr">
        <is>
          <t>m</t>
        </is>
      </c>
      <c r="G159" s="18" t="n">
        <v>98.0</v>
      </c>
      <c r="H159" s="19" t="n">
        <v>9.36</v>
      </c>
      <c r="I159" s="19" t="n">
        <v>11.68</v>
      </c>
      <c r="J159" s="19" t="n">
        <v>0.0</v>
      </c>
      <c r="K159" s="19" t="n">
        <v>0.0</v>
      </c>
      <c r="L159" s="19" t="str">
        <f>1144.64</f>
      </c>
      <c r="M159" s="20" t="n">
        <v>0.0001967745836056825</v>
      </c>
    </row>
    <row customHeight="1" ht="60" r="160">
      <c r="A160" s="16" t="inlineStr">
        <is>
          <t> 3.2.17 </t>
        </is>
      </c>
      <c r="B160" s="18" t="inlineStr">
        <is>
          <t> 11999 </t>
        </is>
      </c>
      <c r="C160" s="16" t="inlineStr">
        <is>
          <t>ORSE</t>
        </is>
      </c>
      <c r="D160" s="16" t="inlineStr">
        <is>
          <t>Luminária em LED  para iluminação pública,150W,bivolt,Selo A Inmetro,corpo em alumínio inj,FP 0,97, prot. DPS 10kv, IP66, IK09, Temp. cor 5000k, IRC= ou 70%, v. útil 50.000h, 130 lm/w.gar.5 anos, modelo GL216 G-light ou similar Rev. 01</t>
        </is>
      </c>
      <c r="E160" s="16" t="inlineStr">
        <is>
          <t>Luminárias Externas</t>
        </is>
      </c>
      <c r="F160" s="17" t="inlineStr">
        <is>
          <t>un</t>
        </is>
      </c>
      <c r="G160" s="18" t="n">
        <v>4.0</v>
      </c>
      <c r="H160" s="19" t="n">
        <v>1506.74</v>
      </c>
      <c r="I160" s="19" t="n">
        <v>1881.31</v>
      </c>
      <c r="J160" s="19" t="n">
        <v>137.72</v>
      </c>
      <c r="K160" s="19" t="n">
        <v>1.83</v>
      </c>
      <c r="L160" s="19" t="str">
        <f>7525.24</f>
      </c>
      <c r="M160" s="20" t="n">
        <v>0.0012936608606486113</v>
      </c>
    </row>
    <row customHeight="1" ht="60" r="161">
      <c r="A161" s="16" t="inlineStr">
        <is>
          <t> 3.2.18 </t>
        </is>
      </c>
      <c r="B161" s="18" t="inlineStr">
        <is>
          <t> 12162 </t>
        </is>
      </c>
      <c r="C161" s="16" t="inlineStr">
        <is>
          <t>ORSE</t>
        </is>
      </c>
      <c r="D161" s="16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61" s="16" t="inlineStr">
        <is>
          <t>Luminárias Externas</t>
        </is>
      </c>
      <c r="F161" s="17" t="inlineStr">
        <is>
          <t>un</t>
        </is>
      </c>
      <c r="G161" s="18" t="n">
        <v>8.0</v>
      </c>
      <c r="H161" s="19" t="n">
        <v>4320.19</v>
      </c>
      <c r="I161" s="19" t="n">
        <v>5394.18</v>
      </c>
      <c r="J161" s="19" t="n">
        <v>275.44</v>
      </c>
      <c r="K161" s="19" t="n">
        <v>0.64</v>
      </c>
      <c r="L161" s="19" t="str">
        <f>43153.44</f>
      </c>
      <c r="M161" s="20" t="n">
        <v>0.007418489819640065</v>
      </c>
    </row>
    <row customHeight="1" ht="48" r="162">
      <c r="A162" s="16" t="inlineStr">
        <is>
          <t> 3.2.19 </t>
        </is>
      </c>
      <c r="B162" s="18" t="inlineStr">
        <is>
          <t> 11626 </t>
        </is>
      </c>
      <c r="C162" s="16" t="inlineStr">
        <is>
          <t>ORSE</t>
        </is>
      </c>
      <c r="D162" s="16" t="inlineStr">
        <is>
          <t>Refletor LED Ultra 500W, chip Led CREE drive MEANWELL Proteção IP67, Voltagem AC 100-240V, temp de cor branco frio 5000K, vida útil 60.000h, da Leox ou similar</t>
        </is>
      </c>
      <c r="E162" s="16" t="inlineStr">
        <is>
          <t>Luminárias Externas</t>
        </is>
      </c>
      <c r="F162" s="17" t="inlineStr">
        <is>
          <t>un</t>
        </is>
      </c>
      <c r="G162" s="18" t="n">
        <v>1.0</v>
      </c>
      <c r="H162" s="19" t="n">
        <v>7184.87</v>
      </c>
      <c r="I162" s="19" t="n">
        <v>8971.02</v>
      </c>
      <c r="J162" s="19" t="n">
        <v>14.26</v>
      </c>
      <c r="K162" s="19" t="n">
        <v>0.16</v>
      </c>
      <c r="L162" s="19" t="str">
        <f>8971.02</f>
      </c>
      <c r="M162" s="20" t="n">
        <v>0.001542204295689693</v>
      </c>
    </row>
    <row customHeight="1" ht="48" r="163">
      <c r="A163" s="16" t="inlineStr">
        <is>
          <t> 3.2.20 </t>
        </is>
      </c>
      <c r="B163" s="18" t="inlineStr">
        <is>
          <t> 11625 </t>
        </is>
      </c>
      <c r="C163" s="16" t="inlineStr">
        <is>
          <t>ORSE</t>
        </is>
      </c>
      <c r="D163" s="16" t="inlineStr">
        <is>
          <t>Refletor LED Ultra 1000W, chip Led CREE drive MEANWELL Proteção IP67, Voltagem AC 100-240V, temp de cor branco frio 5000K, vida útil 60.000h, da Leox ou similar</t>
        </is>
      </c>
      <c r="E163" s="16" t="inlineStr">
        <is>
          <t>Luminárias Externas</t>
        </is>
      </c>
      <c r="F163" s="17" t="inlineStr">
        <is>
          <t>un</t>
        </is>
      </c>
      <c r="G163" s="18" t="n">
        <v>2.0</v>
      </c>
      <c r="H163" s="19" t="n">
        <v>12936.02</v>
      </c>
      <c r="I163" s="19" t="n">
        <v>16151.91</v>
      </c>
      <c r="J163" s="19" t="n">
        <v>28.52</v>
      </c>
      <c r="K163" s="19" t="n">
        <v>0.09</v>
      </c>
      <c r="L163" s="19" t="str">
        <f>32303.82</f>
      </c>
      <c r="M163" s="20" t="n">
        <v>0.005553336183754647</v>
      </c>
    </row>
    <row customHeight="1" ht="60" r="164">
      <c r="A164" s="16" t="inlineStr">
        <is>
          <t> 3.2.21 </t>
        </is>
      </c>
      <c r="B164" s="18" t="inlineStr">
        <is>
          <t> 7646 </t>
        </is>
      </c>
      <c r="C164" s="16" t="inlineStr">
        <is>
          <t>ORSE</t>
        </is>
      </c>
      <c r="D164" s="16" t="inlineStr">
        <is>
          <t>Poste de aço galvanizado cônico contínuo reto, diâmtero superior de 76mm, diâmtero da base 175mm, altura total 9m, com base de fixação, da Conipost ref. Série 3009/BJG+CH, classe 100 da Conipost ou similar</t>
        </is>
      </c>
      <c r="E164" s="16" t="inlineStr">
        <is>
          <t>Postes Tubulares de Ferro Galvanizado</t>
        </is>
      </c>
      <c r="F164" s="17" t="inlineStr">
        <is>
          <t>un</t>
        </is>
      </c>
      <c r="G164" s="18" t="n">
        <v>8.0</v>
      </c>
      <c r="H164" s="19" t="n">
        <v>2949.0</v>
      </c>
      <c r="I164" s="19" t="n">
        <v>3682.12</v>
      </c>
      <c r="J164" s="19" t="n">
        <v>793.84</v>
      </c>
      <c r="K164" s="19" t="n">
        <v>2.69</v>
      </c>
      <c r="L164" s="19" t="str">
        <f>29456.96</f>
      </c>
      <c r="M164" s="20" t="n">
        <v>0.00506393367197481</v>
      </c>
    </row>
    <row customHeight="1" ht="24" r="165">
      <c r="A165" s="16" t="inlineStr">
        <is>
          <t> 3.2.22 </t>
        </is>
      </c>
      <c r="B165" s="18" t="inlineStr">
        <is>
          <t> 072010 </t>
        </is>
      </c>
      <c r="C165" s="16" t="inlineStr">
        <is>
          <t>AGETOP CIVIL</t>
        </is>
      </c>
      <c r="D165" s="16" t="inlineStr">
        <is>
          <t>POSTE DE CONCRETO DT 20/1500 - SEM FUNDAÇÃO/CONCRETO</t>
        </is>
      </c>
      <c r="E165" s="16" t="n">
        <v>7</v>
      </c>
      <c r="F165" s="17" t="inlineStr">
        <is>
          <t>Un</t>
        </is>
      </c>
      <c r="G165" s="18" t="n">
        <v>2.0</v>
      </c>
      <c r="H165" s="19" t="n">
        <v>9557.79</v>
      </c>
      <c r="I165" s="19" t="n">
        <v>11933.85</v>
      </c>
      <c r="J165" s="19" t="n">
        <v>0.0</v>
      </c>
      <c r="K165" s="19" t="n">
        <v>0.0</v>
      </c>
      <c r="L165" s="19" t="str">
        <f>23867.7</f>
      </c>
      <c r="M165" s="20" t="n">
        <v>0.004103086323320301</v>
      </c>
    </row>
    <row customHeight="1" ht="48" r="166">
      <c r="A166" s="16" t="inlineStr">
        <is>
          <t> 3.2.23 </t>
        </is>
      </c>
      <c r="B166" s="18" t="inlineStr">
        <is>
          <t> 151003 </t>
        </is>
      </c>
      <c r="C166" s="16" t="inlineStr">
        <is>
          <t>IOPES</t>
        </is>
      </c>
      <c r="D166" s="16" t="inlineStr">
        <is>
          <t>Caixa de passagem de alvenaria de blocos cerâmicos 10 furos 10x20x20cm, dimensão de 30x30x30cm, com revestimento interno em chapisco e reboco, tampa de concreto esp. 5cm e lastro de brita 5cm</t>
        </is>
      </c>
      <c r="E166" s="16" t="inlineStr">
        <is>
          <t>CAIXAS DE PASSAGEM EMPREGANDO ARGAMASSA DE CIMENTO, CAL E AREIA</t>
        </is>
      </c>
      <c r="F166" s="17" t="inlineStr">
        <is>
          <t>und</t>
        </is>
      </c>
      <c r="G166" s="18" t="n">
        <v>82.0</v>
      </c>
      <c r="H166" s="19" t="n">
        <v>113.05</v>
      </c>
      <c r="I166" s="19" t="n">
        <v>141.15</v>
      </c>
      <c r="J166" s="19" t="n">
        <v>6749.42</v>
      </c>
      <c r="K166" s="19" t="n">
        <v>58.31</v>
      </c>
      <c r="L166" s="19" t="str">
        <f>11574.3</f>
      </c>
      <c r="M166" s="20" t="n">
        <v>0.0019897330715572155</v>
      </c>
    </row>
    <row customHeight="1" ht="24" r="167">
      <c r="A167" s="16" t="inlineStr">
        <is>
          <t> 3.2.24 </t>
        </is>
      </c>
      <c r="B167" s="18" t="inlineStr">
        <is>
          <t> 83447 </t>
        </is>
      </c>
      <c r="C167" s="16" t="inlineStr">
        <is>
          <t>SINAPI</t>
        </is>
      </c>
      <c r="D167" s="16" t="inlineStr">
        <is>
          <t>CAIXA DE PASSAGEM 40X40X50 FUNDO BRITA COM TAMPA</t>
        </is>
      </c>
      <c r="E167" s="16" t="inlineStr">
        <is>
          <t>INEL - INSTALAÇÃO ELÉTRICA/ELETRIFICAÇÃO E ILUMINAÇÃO EXTERNA</t>
        </is>
      </c>
      <c r="F167" s="17" t="inlineStr">
        <is>
          <t>UN</t>
        </is>
      </c>
      <c r="G167" s="18" t="n">
        <v>5.0</v>
      </c>
      <c r="H167" s="19" t="n">
        <v>191.43</v>
      </c>
      <c r="I167" s="19" t="n">
        <v>239.01</v>
      </c>
      <c r="J167" s="19" t="n">
        <v>548.95</v>
      </c>
      <c r="K167" s="19" t="n">
        <v>45.94</v>
      </c>
      <c r="L167" s="19" t="str">
        <f>1195.05</f>
      </c>
      <c r="M167" s="20" t="n">
        <v>0.00020544054561955804</v>
      </c>
    </row>
    <row customHeight="1" ht="48" r="168">
      <c r="A168" s="16" t="inlineStr">
        <is>
          <t> 3.2.25 </t>
        </is>
      </c>
      <c r="B168" s="18" t="inlineStr">
        <is>
          <t> 151016 </t>
        </is>
      </c>
      <c r="C168" s="16" t="inlineStr">
        <is>
          <t>IOPES</t>
        </is>
      </c>
      <c r="D168" s="16" t="inlineStr">
        <is>
          <t>Caixa de passagem de alvenaria de blocos de concreto 9x19x39cm, dimensões de 80x80x80m, com revestimento interno em chapisco e reboco tampa de concreto esp. 5cm e lastro de brita 5cm</t>
        </is>
      </c>
      <c r="E168" s="16" t="inlineStr">
        <is>
          <t>CAIXAS DE PASSAGEM EMPREGANDO ARGAMASSA DE CIMENTO, CAL E AREIA</t>
        </is>
      </c>
      <c r="F168" s="17" t="inlineStr">
        <is>
          <t>und</t>
        </is>
      </c>
      <c r="G168" s="18" t="n">
        <v>26.0</v>
      </c>
      <c r="H168" s="19" t="n">
        <v>576.09</v>
      </c>
      <c r="I168" s="19" t="n">
        <v>719.3</v>
      </c>
      <c r="J168" s="19" t="n">
        <v>12469.08</v>
      </c>
      <c r="K168" s="19" t="n">
        <v>66.67</v>
      </c>
      <c r="L168" s="19" t="str">
        <f>18701.8</f>
      </c>
      <c r="M168" s="20" t="n">
        <v>0.0032150186151774823</v>
      </c>
    </row>
    <row customHeight="1" ht="24" r="169">
      <c r="A169" s="16" t="inlineStr">
        <is>
          <t> 3.2.26 </t>
        </is>
      </c>
      <c r="B169" s="18" t="inlineStr">
        <is>
          <t> 180687 </t>
        </is>
      </c>
      <c r="C169" s="16" t="inlineStr">
        <is>
          <t>SEDOP</t>
        </is>
      </c>
      <c r="D169" s="16" t="inlineStr">
        <is>
          <t>Caixa em alvenaria de 100x100x100cm c/ tpo. concreto</t>
        </is>
      </c>
      <c r="E169" s="16" t="inlineStr">
        <is>
          <t/>
        </is>
      </c>
      <c r="F169" s="17" t="inlineStr">
        <is>
          <t>UN</t>
        </is>
      </c>
      <c r="G169" s="18" t="n">
        <v>4.0</v>
      </c>
      <c r="H169" s="19" t="n">
        <v>919.19</v>
      </c>
      <c r="I169" s="19" t="n">
        <v>1147.7</v>
      </c>
      <c r="J169" s="19" t="n">
        <v>1795.08</v>
      </c>
      <c r="K169" s="19" t="n">
        <v>39.1</v>
      </c>
      <c r="L169" s="19" t="str">
        <f>4590.8</f>
      </c>
      <c r="M169" s="20" t="n">
        <v>0.00078920250770283</v>
      </c>
    </row>
    <row customHeight="1" ht="36" r="170">
      <c r="A170" s="44" t="inlineStr">
        <is>
          <t> 3.2.27 </t>
        </is>
      </c>
      <c r="B170" s="46" t="inlineStr">
        <is>
          <t> M102800050 </t>
        </is>
      </c>
      <c r="C170" s="44" t="inlineStr">
        <is>
          <t>EMBASA</t>
        </is>
      </c>
      <c r="D170" s="44" t="inlineStr">
        <is>
          <t>LUVA DE EMENDA P/ FIO OU CABO, A COMPRESSAO POR INDENTACAO, DE COBREELETROLITICO ESTANHADO, BITOLA 25mm2</t>
        </is>
      </c>
      <c r="E170" s="44" t="inlineStr">
        <is>
          <t>Material</t>
        </is>
      </c>
      <c r="F170" s="45" t="inlineStr">
        <is>
          <t>UN</t>
        </is>
      </c>
      <c r="G170" s="46" t="n">
        <v>4.0</v>
      </c>
      <c r="H170" s="47" t="n">
        <v>1.78</v>
      </c>
      <c r="I170" s="47" t="n">
        <v>2.22</v>
      </c>
      <c r="J170" s="47" t="n">
        <v>0.0</v>
      </c>
      <c r="K170" s="47" t="n">
        <v>0.0</v>
      </c>
      <c r="L170" s="47" t="str">
        <f>8.88</f>
      </c>
      <c r="M170" s="48" t="n">
        <v>1.5265570855626755e-06</v>
      </c>
    </row>
    <row customHeight="1" ht="36" r="171">
      <c r="A171" s="44" t="inlineStr">
        <is>
          <t> 3.2.28 </t>
        </is>
      </c>
      <c r="B171" s="46" t="inlineStr">
        <is>
          <t> M102800040 </t>
        </is>
      </c>
      <c r="C171" s="44" t="inlineStr">
        <is>
          <t>EMBASA</t>
        </is>
      </c>
      <c r="D171" s="44" t="inlineStr">
        <is>
          <t>LUVA DE EMENDA P/ FIO OU CABO, A COMPRESSAO POR INDENTACAO, DE COBREELETROLITICO ESTANHADO, BITOLA 16mm2</t>
        </is>
      </c>
      <c r="E171" s="44" t="inlineStr">
        <is>
          <t>Material</t>
        </is>
      </c>
      <c r="F171" s="45" t="inlineStr">
        <is>
          <t>UN</t>
        </is>
      </c>
      <c r="G171" s="46" t="n">
        <v>8.0</v>
      </c>
      <c r="H171" s="47" t="n">
        <v>1.11</v>
      </c>
      <c r="I171" s="47" t="n">
        <v>1.38</v>
      </c>
      <c r="J171" s="47" t="n">
        <v>0.0</v>
      </c>
      <c r="K171" s="47" t="n">
        <v>0.0</v>
      </c>
      <c r="L171" s="47" t="str">
        <f>11.04</f>
      </c>
      <c r="M171" s="48" t="n">
        <v>1.8978817820508938e-06</v>
      </c>
    </row>
    <row customHeight="1" ht="36" r="172">
      <c r="A172" s="44" t="inlineStr">
        <is>
          <t> 3.2.29 </t>
        </is>
      </c>
      <c r="B172" s="46" t="inlineStr">
        <is>
          <t> M102800030 </t>
        </is>
      </c>
      <c r="C172" s="44" t="inlineStr">
        <is>
          <t>EMBASA</t>
        </is>
      </c>
      <c r="D172" s="44" t="inlineStr">
        <is>
          <t>LUVA DE EMENDA P/ FIO OU CABO, A COMPRESSAO POR INDENTACAO, DE COBREELETROLITICO ESTANHADO, BITOLA 10mm2</t>
        </is>
      </c>
      <c r="E172" s="44" t="inlineStr">
        <is>
          <t>Material</t>
        </is>
      </c>
      <c r="F172" s="45" t="inlineStr">
        <is>
          <t>UN</t>
        </is>
      </c>
      <c r="G172" s="46" t="n">
        <v>1.0</v>
      </c>
      <c r="H172" s="47" t="n">
        <v>1.01</v>
      </c>
      <c r="I172" s="47" t="n">
        <v>1.26</v>
      </c>
      <c r="J172" s="47" t="n">
        <v>0.0</v>
      </c>
      <c r="K172" s="47" t="n">
        <v>0.0</v>
      </c>
      <c r="L172" s="47" t="str">
        <f>1.26</f>
      </c>
      <c r="M172" s="48" t="n">
        <v>2.166060729514607e-07</v>
      </c>
    </row>
    <row customHeight="1" ht="24" r="173">
      <c r="A173" s="16" t="inlineStr">
        <is>
          <t> 3.2.30 </t>
        </is>
      </c>
      <c r="B173" s="18" t="inlineStr">
        <is>
          <t> 9004 </t>
        </is>
      </c>
      <c r="C173" s="16" t="inlineStr">
        <is>
          <t>ORSE</t>
        </is>
      </c>
      <c r="D173" s="16" t="inlineStr">
        <is>
          <t>Disjuntor termomagnetico tripolar  80 A, padrão DIN (Europeu - linha branca), curva C, 5KA</t>
        </is>
      </c>
      <c r="E173" s="16" t="inlineStr">
        <is>
          <t>Fusíveis, Disjuntores e Chaves</t>
        </is>
      </c>
      <c r="F173" s="17" t="inlineStr">
        <is>
          <t>un</t>
        </is>
      </c>
      <c r="G173" s="18" t="n">
        <v>1.0</v>
      </c>
      <c r="H173" s="19" t="n">
        <v>147.59</v>
      </c>
      <c r="I173" s="19" t="n">
        <v>184.28</v>
      </c>
      <c r="J173" s="19" t="n">
        <v>34.43</v>
      </c>
      <c r="K173" s="19" t="n">
        <v>18.68</v>
      </c>
      <c r="L173" s="19" t="str">
        <f>184.28</f>
      </c>
      <c r="M173" s="20" t="n">
        <v>3.1679497717059664e-05</v>
      </c>
    </row>
    <row customHeight="1" ht="24" r="174">
      <c r="A174" s="16" t="inlineStr">
        <is>
          <t> 3.2.31 </t>
        </is>
      </c>
      <c r="B174" s="18" t="inlineStr">
        <is>
          <t> 452 </t>
        </is>
      </c>
      <c r="C174" s="16" t="inlineStr">
        <is>
          <t>ORSE</t>
        </is>
      </c>
      <c r="D174" s="16" t="inlineStr">
        <is>
          <t>Disjuntor termomagnetico tripolar  63 A, padrão DIN (Europeu - linha branca), curva C</t>
        </is>
      </c>
      <c r="E174" s="16" t="inlineStr">
        <is>
          <t>Fusíveis, Disjuntores e Chaves</t>
        </is>
      </c>
      <c r="F174" s="17" t="inlineStr">
        <is>
          <t>un</t>
        </is>
      </c>
      <c r="G174" s="18" t="n">
        <v>2.0</v>
      </c>
      <c r="H174" s="19" t="n">
        <v>118.78</v>
      </c>
      <c r="I174" s="19" t="n">
        <v>148.3</v>
      </c>
      <c r="J174" s="19" t="n">
        <v>68.86</v>
      </c>
      <c r="K174" s="19" t="n">
        <v>23.22</v>
      </c>
      <c r="L174" s="19" t="str">
        <f>296.6</f>
      </c>
      <c r="M174" s="20" t="n">
        <v>5.098838193444702e-05</v>
      </c>
    </row>
    <row customHeight="1" ht="24" r="175">
      <c r="A175" s="16" t="inlineStr">
        <is>
          <t> 3.2.32 </t>
        </is>
      </c>
      <c r="B175" s="18" t="inlineStr">
        <is>
          <t> 451 </t>
        </is>
      </c>
      <c r="C175" s="16" t="inlineStr">
        <is>
          <t>ORSE</t>
        </is>
      </c>
      <c r="D175" s="16" t="inlineStr">
        <is>
          <t>Disjuntor termomagnetico tripolar  32 A, padrão DIN (Europeu - linha branca), curva C</t>
        </is>
      </c>
      <c r="E175" s="16" t="inlineStr">
        <is>
          <t>Fusíveis, Disjuntores e Chaves</t>
        </is>
      </c>
      <c r="F175" s="17" t="inlineStr">
        <is>
          <t>un</t>
        </is>
      </c>
      <c r="G175" s="18" t="n">
        <v>2.0</v>
      </c>
      <c r="H175" s="19" t="n">
        <v>114.19</v>
      </c>
      <c r="I175" s="19" t="n">
        <v>142.57</v>
      </c>
      <c r="J175" s="19" t="n">
        <v>68.86</v>
      </c>
      <c r="K175" s="19" t="n">
        <v>24.15</v>
      </c>
      <c r="L175" s="19" t="str">
        <f>285.14</f>
      </c>
      <c r="M175" s="20" t="n">
        <v>4.901829812807897e-05</v>
      </c>
    </row>
    <row customHeight="1" ht="36" r="176">
      <c r="A176" s="16" t="inlineStr">
        <is>
          <t> 3.2.33 </t>
        </is>
      </c>
      <c r="B176" s="18" t="inlineStr">
        <is>
          <t> 12232 </t>
        </is>
      </c>
      <c r="C176" s="16" t="inlineStr">
        <is>
          <t>ORSE</t>
        </is>
      </c>
      <c r="D176" s="16" t="inlineStr">
        <is>
          <t>Quadro de distribuição de embutir, em chapa de aço, para até 56 disjuntores, com barramento, padrão DIN, exclusive disjuntores</t>
        </is>
      </c>
      <c r="E176" s="16" t="inlineStr">
        <is>
          <t>Conversão InfoWOrca</t>
        </is>
      </c>
      <c r="F176" s="17" t="inlineStr">
        <is>
          <t>un</t>
        </is>
      </c>
      <c r="G176" s="18" t="n">
        <v>7.0</v>
      </c>
      <c r="H176" s="19" t="n">
        <v>2532.21</v>
      </c>
      <c r="I176" s="19" t="n">
        <v>3161.71</v>
      </c>
      <c r="J176" s="19" t="n">
        <v>2375.73</v>
      </c>
      <c r="K176" s="19" t="n">
        <v>10.73</v>
      </c>
      <c r="L176" s="19" t="str">
        <f>22131.97</f>
      </c>
      <c r="M176" s="20" t="n">
        <v>0.003804697705063127</v>
      </c>
    </row>
    <row customHeight="1" ht="24" r="177">
      <c r="A177" s="16" t="inlineStr">
        <is>
          <t> 3.2.34 </t>
        </is>
      </c>
      <c r="B177" s="18" t="inlineStr">
        <is>
          <t> 11822 </t>
        </is>
      </c>
      <c r="C177" s="16" t="inlineStr">
        <is>
          <t>ORSE</t>
        </is>
      </c>
      <c r="D177" s="16" t="inlineStr">
        <is>
          <t>Sensor ótico de fumaça "Linear"</t>
        </is>
      </c>
      <c r="E177" s="16" t="inlineStr">
        <is>
          <t>Equipamentos para Combate a Incêndio</t>
        </is>
      </c>
      <c r="F177" s="17" t="inlineStr">
        <is>
          <t>un</t>
        </is>
      </c>
      <c r="G177" s="18" t="n">
        <v>1.0</v>
      </c>
      <c r="H177" s="19" t="n">
        <v>104.7</v>
      </c>
      <c r="I177" s="19" t="n">
        <v>130.72</v>
      </c>
      <c r="J177" s="19" t="n">
        <v>17.21</v>
      </c>
      <c r="K177" s="19" t="n">
        <v>13.17</v>
      </c>
      <c r="L177" s="19" t="str">
        <f>130.72</f>
      </c>
      <c r="M177" s="20" t="n">
        <v>2.247202052080551e-05</v>
      </c>
    </row>
    <row customHeight="1" ht="36" r="178">
      <c r="A178" s="16" t="inlineStr">
        <is>
          <t> 3.2.35 </t>
        </is>
      </c>
      <c r="B178" s="18" t="inlineStr">
        <is>
          <t> 92994 </t>
        </is>
      </c>
      <c r="C178" s="16" t="inlineStr">
        <is>
          <t>SINAPI</t>
        </is>
      </c>
      <c r="D178" s="16" t="inlineStr">
        <is>
          <t>CABO DE COBRE FLEXÍVEL ISOLADO, 120 MM², ANTI-CHAMA 0,6/1,0 KV, PARA DISTRIBUIÇÃO - FORNECIMENTO E INSTALAÇÃO. AF_12/2015</t>
        </is>
      </c>
      <c r="E178" s="16" t="inlineStr">
        <is>
          <t>INEL - INSTALAÇÃO ELÉTRICA/ELETRIFICAÇÃO E ILUMINAÇÃO EXTERNA</t>
        </is>
      </c>
      <c r="F178" s="17" t="inlineStr">
        <is>
          <t>M</t>
        </is>
      </c>
      <c r="G178" s="18" t="n">
        <v>1843.0</v>
      </c>
      <c r="H178" s="19" t="n">
        <v>121.26</v>
      </c>
      <c r="I178" s="19" t="n">
        <v>151.4</v>
      </c>
      <c r="J178" s="19" t="n">
        <v>9657.32</v>
      </c>
      <c r="K178" s="19" t="n">
        <v>3.46</v>
      </c>
      <c r="L178" s="19" t="str">
        <f>279030.2</f>
      </c>
      <c r="M178" s="20" t="n">
        <v>0.04796796496576244</v>
      </c>
    </row>
    <row customHeight="1" ht="36" r="179">
      <c r="A179" s="16" t="inlineStr">
        <is>
          <t> 3.2.36 </t>
        </is>
      </c>
      <c r="B179" s="18" t="inlineStr">
        <is>
          <t> 93000 </t>
        </is>
      </c>
      <c r="C179" s="16" t="inlineStr">
        <is>
          <t>SINAPI</t>
        </is>
      </c>
      <c r="D179" s="16" t="inlineStr">
        <is>
          <t>CABO DE COBRE FLEXÍVEL ISOLADO, 240 MM², ANTI-CHAMA 0,6/1,0 KV, PARA DISTRIBUIÇÃO - FORNECIMENTO E INSTALAÇÃO. AF_12/2015</t>
        </is>
      </c>
      <c r="E179" s="16" t="inlineStr">
        <is>
          <t>INEL - INSTALAÇÃO ELÉTRICA/ELETRIFICAÇÃO E ILUMINAÇÃO EXTERNA</t>
        </is>
      </c>
      <c r="F179" s="17" t="inlineStr">
        <is>
          <t>M</t>
        </is>
      </c>
      <c r="G179" s="18" t="n">
        <v>3483.0</v>
      </c>
      <c r="H179" s="19" t="n">
        <v>241.04</v>
      </c>
      <c r="I179" s="19" t="n">
        <v>300.96</v>
      </c>
      <c r="J179" s="19" t="n">
        <v>31625.64</v>
      </c>
      <c r="K179" s="19" t="n">
        <v>3.02</v>
      </c>
      <c r="L179" s="19" t="str">
        <f>1048243.68</f>
      </c>
      <c r="M179" s="20" t="n">
        <v>0.18020313255633938</v>
      </c>
    </row>
    <row customHeight="1" ht="36" r="180">
      <c r="A180" s="16" t="inlineStr">
        <is>
          <t> 3.2.37 </t>
        </is>
      </c>
      <c r="B180" s="18" t="inlineStr">
        <is>
          <t> 93002 </t>
        </is>
      </c>
      <c r="C180" s="16" t="inlineStr">
        <is>
          <t>SINAPI</t>
        </is>
      </c>
      <c r="D180" s="16" t="inlineStr">
        <is>
          <t>CABO DE COBRE FLEXÍVEL ISOLADO, 300 MM², ANTI-CHAMA 0,6/1,0 KV, PARA DISTRIBUIÇÃO - FORNECIMENTO E INSTALAÇÃO. AF_12/2015</t>
        </is>
      </c>
      <c r="E180" s="16" t="inlineStr">
        <is>
          <t>INEL - INSTALAÇÃO ELÉTRICA/ELETRIFICAÇÃO E ILUMINAÇÃO EXTERNA</t>
        </is>
      </c>
      <c r="F180" s="17" t="inlineStr">
        <is>
          <t>M</t>
        </is>
      </c>
      <c r="G180" s="18" t="n">
        <v>1480.0</v>
      </c>
      <c r="H180" s="19" t="n">
        <v>300.98</v>
      </c>
      <c r="I180" s="19" t="n">
        <v>375.8</v>
      </c>
      <c r="J180" s="19" t="n">
        <v>15895.2</v>
      </c>
      <c r="K180" s="19" t="n">
        <v>2.86</v>
      </c>
      <c r="L180" s="19" t="str">
        <f>556184.0</f>
      </c>
      <c r="M180" s="20" t="n">
        <v>0.0956133587924089</v>
      </c>
    </row>
    <row customHeight="1" ht="24" r="181">
      <c r="A181" s="16" t="inlineStr">
        <is>
          <t> 3.2.38 </t>
        </is>
      </c>
      <c r="B181" s="18" t="inlineStr">
        <is>
          <t> 93010 </t>
        </is>
      </c>
      <c r="C181" s="16" t="inlineStr">
        <is>
          <t>SINAPI</t>
        </is>
      </c>
      <c r="D181" s="16" t="inlineStr">
        <is>
          <t>ELETRODUTO RÍGIDO ROSCÁVEL, PVC, DN 75 MM (2 1/2") - FORNECIMENTO E INSTALAÇÃO. AF_12/2015</t>
        </is>
      </c>
      <c r="E181" s="16" t="inlineStr">
        <is>
          <t>INEL - INSTALAÇÃO ELÉTRICA/ELETRIFICAÇÃO E ILUMINAÇÃO EXTERNA</t>
        </is>
      </c>
      <c r="F181" s="17" t="inlineStr">
        <is>
          <t>M</t>
        </is>
      </c>
      <c r="G181" s="18" t="n">
        <v>882.0</v>
      </c>
      <c r="H181" s="19" t="n">
        <v>23.0</v>
      </c>
      <c r="I181" s="19" t="n">
        <v>28.71</v>
      </c>
      <c r="J181" s="19" t="n">
        <v>4683.42</v>
      </c>
      <c r="K181" s="19" t="n">
        <v>18.5</v>
      </c>
      <c r="L181" s="19" t="str">
        <f>25322.22</f>
      </c>
      <c r="M181" s="20" t="n">
        <v>0.004353132248105506</v>
      </c>
    </row>
    <row customHeight="1" ht="36" r="182">
      <c r="A182" s="16" t="inlineStr">
        <is>
          <t> 3.2.39 </t>
        </is>
      </c>
      <c r="B182" s="18" t="inlineStr">
        <is>
          <t> 362 </t>
        </is>
      </c>
      <c r="C182" s="16" t="inlineStr">
        <is>
          <t>Próprio</t>
        </is>
      </c>
      <c r="D182" s="16" t="inlineStr">
        <is>
          <t>CABO DE COBRE, RIGIDO, CLASSE 2, ISOLACAO EM PVC/A, ANTICHAMA BWF-B, 1 CONDUTOR, 450/750 V, SECAO NOMINAL 2,5 MM2 - FORNECIMENTO E INSTALAÇÃO.</t>
        </is>
      </c>
      <c r="E182" s="16" t="inlineStr">
        <is>
          <t>INEL - INSTALAÇÃO ELÉTRICA/ELETRIFICAÇÃO E ILUMINAÇÃO EXTERNA</t>
        </is>
      </c>
      <c r="F182" s="17" t="inlineStr">
        <is>
          <t>M</t>
        </is>
      </c>
      <c r="G182" s="18" t="n">
        <v>3747.0</v>
      </c>
      <c r="H182" s="19" t="n">
        <v>5.24</v>
      </c>
      <c r="I182" s="19" t="n">
        <v>6.54</v>
      </c>
      <c r="J182" s="19" t="n">
        <v>3821.94</v>
      </c>
      <c r="K182" s="19" t="n">
        <v>15.6</v>
      </c>
      <c r="L182" s="19" t="str">
        <f>24505.38</f>
      </c>
      <c r="M182" s="20" t="n">
        <v>0.004212709625383545</v>
      </c>
    </row>
    <row customHeight="1" ht="48" r="183">
      <c r="A183" s="16" t="inlineStr">
        <is>
          <t> 3.2.40 </t>
        </is>
      </c>
      <c r="B183" s="18" t="inlineStr">
        <is>
          <t> 374 </t>
        </is>
      </c>
      <c r="C183" s="16" t="inlineStr">
        <is>
          <t>Próprio</t>
        </is>
      </c>
      <c r="D183" s="16" t="inlineStr">
        <is>
          <t>HASTE DE ATERRAMENTO EM ACO COM 3,00 M DE COMPRIMENTO E DN = 5/8", REVESTIDA COM BAIXA CAMADA DE COBRE, COM CONECTOR TIPO GRAMPO. Fornecimento e instalação</t>
        </is>
      </c>
      <c r="E183" s="16" t="inlineStr">
        <is>
          <t>ASTU - ASSENTAMENTO DE TUBOS E PECAS</t>
        </is>
      </c>
      <c r="F183" s="17" t="inlineStr">
        <is>
          <t>un</t>
        </is>
      </c>
      <c r="G183" s="18" t="n">
        <v>36.0</v>
      </c>
      <c r="H183" s="19" t="n">
        <v>66.69</v>
      </c>
      <c r="I183" s="19" t="n">
        <v>83.26</v>
      </c>
      <c r="J183" s="19" t="n">
        <v>497.88</v>
      </c>
      <c r="K183" s="19" t="n">
        <v>16.61</v>
      </c>
      <c r="L183" s="19" t="str">
        <f>2997.36</f>
      </c>
      <c r="M183" s="20" t="n">
        <v>0.0005152749038268177</v>
      </c>
    </row>
    <row customHeight="1" ht="36" r="184">
      <c r="A184" s="16" t="inlineStr">
        <is>
          <t> 3.2.41 </t>
        </is>
      </c>
      <c r="B184" s="18" t="inlineStr">
        <is>
          <t> 366 </t>
        </is>
      </c>
      <c r="C184" s="16" t="inlineStr">
        <is>
          <t>Próprio</t>
        </is>
      </c>
      <c r="D184" s="16" t="inlineStr">
        <is>
          <t>Cruzeta reforçada em ferro galvanziada para fixação de 4 projetores, externo, ref. TC 714/R Tropico ou equivalente. Fornecimento e Instalação</t>
        </is>
      </c>
      <c r="E184" s="16" t="inlineStr">
        <is>
          <t>SEDI - SERVIÇOS DIVERSOS</t>
        </is>
      </c>
      <c r="F184" s="17" t="inlineStr">
        <is>
          <t>UN</t>
        </is>
      </c>
      <c r="G184" s="18" t="n">
        <v>6.0</v>
      </c>
      <c r="H184" s="19" t="n">
        <v>820.85</v>
      </c>
      <c r="I184" s="19" t="n">
        <v>1024.91</v>
      </c>
      <c r="J184" s="19" t="n">
        <v>352.5</v>
      </c>
      <c r="K184" s="19" t="n">
        <v>5.73</v>
      </c>
      <c r="L184" s="19" t="str">
        <f>6149.46</f>
      </c>
      <c r="M184" s="20" t="n">
        <v>0.0010571510963270552</v>
      </c>
    </row>
    <row customHeight="1" ht="24" r="185">
      <c r="A185" s="16" t="inlineStr">
        <is>
          <t> 3.2.42 </t>
        </is>
      </c>
      <c r="B185" s="18" t="inlineStr">
        <is>
          <t> 364 </t>
        </is>
      </c>
      <c r="C185" s="16" t="inlineStr">
        <is>
          <t>Próprio</t>
        </is>
      </c>
      <c r="D185" s="16" t="inlineStr">
        <is>
          <t>Poste circular de concreto 12/ 300. Fornecimento e Instalação</t>
        </is>
      </c>
      <c r="E185" s="16" t="inlineStr">
        <is>
          <t>SEDI - SERVIÇOS DIVERSOS</t>
        </is>
      </c>
      <c r="F185" s="17" t="inlineStr">
        <is>
          <t>UN</t>
        </is>
      </c>
      <c r="G185" s="18" t="n">
        <v>8.0</v>
      </c>
      <c r="H185" s="19" t="n">
        <v>2237.13</v>
      </c>
      <c r="I185" s="19" t="n">
        <v>2793.28</v>
      </c>
      <c r="J185" s="19" t="n">
        <v>1135.28</v>
      </c>
      <c r="K185" s="19" t="n">
        <v>5.08</v>
      </c>
      <c r="L185" s="19" t="str">
        <f>22346.24</f>
      </c>
      <c r="M185" s="20" t="n">
        <v>0.0038415327711355945</v>
      </c>
    </row>
    <row customHeight="1" ht="24" r="186">
      <c r="A186" s="16" t="inlineStr">
        <is>
          <t> 3.2.43 </t>
        </is>
      </c>
      <c r="B186" s="18" t="inlineStr">
        <is>
          <t> 7922 </t>
        </is>
      </c>
      <c r="C186" s="16" t="inlineStr">
        <is>
          <t>ORSE</t>
        </is>
      </c>
      <c r="D186" s="16" t="inlineStr">
        <is>
          <t>Terminal de compressão para cabo de  25 mm2 - fornecimento e instalação</t>
        </is>
      </c>
      <c r="E186" s="16" t="inlineStr">
        <is>
          <t>Interligações até Quadro Geral - Fios e Cabos</t>
        </is>
      </c>
      <c r="F186" s="17" t="inlineStr">
        <is>
          <t>un</t>
        </is>
      </c>
      <c r="G186" s="18" t="n">
        <v>42.0</v>
      </c>
      <c r="H186" s="19" t="n">
        <v>2.57</v>
      </c>
      <c r="I186" s="19" t="n">
        <v>3.2</v>
      </c>
      <c r="J186" s="19" t="n">
        <v>41.16</v>
      </c>
      <c r="K186" s="19" t="n">
        <v>30.63</v>
      </c>
      <c r="L186" s="19" t="str">
        <f>134.4</f>
      </c>
      <c r="M186" s="20" t="n">
        <v>2.3104647781489142e-05</v>
      </c>
    </row>
    <row customHeight="1" ht="24" r="187">
      <c r="A187" s="16" t="inlineStr">
        <is>
          <t> 3.2.44 </t>
        </is>
      </c>
      <c r="B187" s="18" t="inlineStr">
        <is>
          <t> 7928 </t>
        </is>
      </c>
      <c r="C187" s="16" t="inlineStr">
        <is>
          <t>ORSE</t>
        </is>
      </c>
      <c r="D187" s="16" t="inlineStr">
        <is>
          <t>Terminal de compressão para cabo de  35 mm2 - fornecimento e instalação</t>
        </is>
      </c>
      <c r="E187" s="16" t="inlineStr">
        <is>
          <t>Interligações até Quadro Geral - Fios e Cabos</t>
        </is>
      </c>
      <c r="F187" s="17" t="inlineStr">
        <is>
          <t>un</t>
        </is>
      </c>
      <c r="G187" s="18" t="n">
        <v>18.0</v>
      </c>
      <c r="H187" s="19" t="n">
        <v>2.9</v>
      </c>
      <c r="I187" s="19" t="n">
        <v>3.62</v>
      </c>
      <c r="J187" s="19" t="n">
        <v>19.8</v>
      </c>
      <c r="K187" s="19" t="n">
        <v>30.39</v>
      </c>
      <c r="L187" s="19" t="str">
        <f>65.16</f>
      </c>
      <c r="M187" s="20" t="n">
        <v>1.1201628344061254e-05</v>
      </c>
    </row>
    <row customHeight="1" ht="24" r="188">
      <c r="A188" s="16" t="inlineStr">
        <is>
          <t> 3.2.45 </t>
        </is>
      </c>
      <c r="B188" s="18" t="inlineStr">
        <is>
          <t> 7923 </t>
        </is>
      </c>
      <c r="C188" s="16" t="inlineStr">
        <is>
          <t>ORSE</t>
        </is>
      </c>
      <c r="D188" s="16" t="inlineStr">
        <is>
          <t>Terminal de compressão para cabo de  50 mm2 - fornecimento e instalação</t>
        </is>
      </c>
      <c r="E188" s="16" t="inlineStr">
        <is>
          <t>Interligações até Quadro Geral - Fios e Cabos</t>
        </is>
      </c>
      <c r="F188" s="17" t="inlineStr">
        <is>
          <t>un</t>
        </is>
      </c>
      <c r="G188" s="18" t="n">
        <v>18.0</v>
      </c>
      <c r="H188" s="19" t="n">
        <v>4.04</v>
      </c>
      <c r="I188" s="19" t="n">
        <v>5.04</v>
      </c>
      <c r="J188" s="19" t="n">
        <v>17.64</v>
      </c>
      <c r="K188" s="19" t="n">
        <v>19.44</v>
      </c>
      <c r="L188" s="19" t="str">
        <f>90.72</f>
      </c>
      <c r="M188" s="20" t="n">
        <v>1.559563725250517e-05</v>
      </c>
    </row>
    <row customHeight="1" ht="24" r="189">
      <c r="A189" s="16" t="inlineStr">
        <is>
          <t> 3.2.46 </t>
        </is>
      </c>
      <c r="B189" s="18" t="inlineStr">
        <is>
          <t> 7929 </t>
        </is>
      </c>
      <c r="C189" s="16" t="inlineStr">
        <is>
          <t>ORSE</t>
        </is>
      </c>
      <c r="D189" s="16" t="inlineStr">
        <is>
          <t>Terminal de compressão para cabo de  70 mm2 - fornecimento e instalação</t>
        </is>
      </c>
      <c r="E189" s="16" t="inlineStr">
        <is>
          <t>Interligações até Quadro Geral - Fios e Cabos</t>
        </is>
      </c>
      <c r="F189" s="17" t="inlineStr">
        <is>
          <t>un</t>
        </is>
      </c>
      <c r="G189" s="18" t="n">
        <v>20.0</v>
      </c>
      <c r="H189" s="19" t="n">
        <v>4.99</v>
      </c>
      <c r="I189" s="19" t="n">
        <v>6.23</v>
      </c>
      <c r="J189" s="19" t="n">
        <v>23.2</v>
      </c>
      <c r="K189" s="19" t="n">
        <v>18.62</v>
      </c>
      <c r="L189" s="19" t="str">
        <f>124.6</f>
      </c>
      <c r="M189" s="20" t="n">
        <v>2.1419933880755557e-05</v>
      </c>
    </row>
    <row customHeight="1" ht="24" r="190">
      <c r="A190" s="16" t="inlineStr">
        <is>
          <t> 3.2.47 </t>
        </is>
      </c>
      <c r="B190" s="18" t="inlineStr">
        <is>
          <t> 7930 </t>
        </is>
      </c>
      <c r="C190" s="16" t="inlineStr">
        <is>
          <t>ORSE</t>
        </is>
      </c>
      <c r="D190" s="16" t="inlineStr">
        <is>
          <t>Terminal de compressão para cabo de 120 mm2 - fornecimento e instalação</t>
        </is>
      </c>
      <c r="E190" s="16" t="inlineStr">
        <is>
          <t>Interligações até Quadro Geral - Fios e Cabos</t>
        </is>
      </c>
      <c r="F190" s="17" t="inlineStr">
        <is>
          <t>un</t>
        </is>
      </c>
      <c r="G190" s="18" t="n">
        <v>10.0</v>
      </c>
      <c r="H190" s="19" t="n">
        <v>7.76</v>
      </c>
      <c r="I190" s="19" t="n">
        <v>9.68</v>
      </c>
      <c r="J190" s="19" t="n">
        <v>11.6</v>
      </c>
      <c r="K190" s="19" t="n">
        <v>11.98</v>
      </c>
      <c r="L190" s="19" t="str">
        <f>96.8</f>
      </c>
      <c r="M190" s="20" t="n">
        <v>1.6640847509286823e-05</v>
      </c>
    </row>
    <row customHeight="1" ht="24" r="191">
      <c r="A191" s="16" t="inlineStr">
        <is>
          <t> 3.2.48 </t>
        </is>
      </c>
      <c r="B191" s="18" t="inlineStr">
        <is>
          <t> 7933 </t>
        </is>
      </c>
      <c r="C191" s="16" t="inlineStr">
        <is>
          <t>ORSE</t>
        </is>
      </c>
      <c r="D191" s="16" t="inlineStr">
        <is>
          <t>Terminal de compressão para cabo de 240 mm2 - fornecimento e instalação</t>
        </is>
      </c>
      <c r="E191" s="16" t="inlineStr">
        <is>
          <t>Interligações até Quadro Geral - Fios e Cabos</t>
        </is>
      </c>
      <c r="F191" s="17" t="inlineStr">
        <is>
          <t>un</t>
        </is>
      </c>
      <c r="G191" s="18" t="n">
        <v>12.0</v>
      </c>
      <c r="H191" s="19" t="n">
        <v>50.52</v>
      </c>
      <c r="I191" s="19" t="n">
        <v>63.07</v>
      </c>
      <c r="J191" s="19" t="n">
        <v>16.44</v>
      </c>
      <c r="K191" s="19" t="n">
        <v>2.17</v>
      </c>
      <c r="L191" s="19" t="str">
        <f>756.84</f>
      </c>
      <c r="M191" s="20" t="n">
        <v>0.00013010804781951073</v>
      </c>
    </row>
    <row customHeight="1" ht="24" r="192">
      <c r="A192" s="16" t="inlineStr">
        <is>
          <t> 3.2.49 </t>
        </is>
      </c>
      <c r="B192" s="18" t="inlineStr">
        <is>
          <t> 7934 </t>
        </is>
      </c>
      <c r="C192" s="16" t="inlineStr">
        <is>
          <t>ORSE</t>
        </is>
      </c>
      <c r="D192" s="16" t="inlineStr">
        <is>
          <t>Terminal de compressão para cabo de 300 mm2 - fornecimento e instalação</t>
        </is>
      </c>
      <c r="E192" s="16" t="inlineStr">
        <is>
          <t>Interligações até Quadro Geral - Fios e Cabos</t>
        </is>
      </c>
      <c r="F192" s="17" t="inlineStr">
        <is>
          <t>un</t>
        </is>
      </c>
      <c r="G192" s="18" t="n">
        <v>48.0</v>
      </c>
      <c r="H192" s="19" t="n">
        <v>67.26</v>
      </c>
      <c r="I192" s="19" t="n">
        <v>83.98</v>
      </c>
      <c r="J192" s="19" t="n">
        <v>75.36</v>
      </c>
      <c r="K192" s="19" t="n">
        <v>1.87</v>
      </c>
      <c r="L192" s="19" t="str">
        <f>4031.04</f>
      </c>
      <c r="M192" s="20" t="n">
        <v>0.000692974400246235</v>
      </c>
    </row>
    <row customHeight="1" ht="24" r="193">
      <c r="A193" s="16" t="inlineStr">
        <is>
          <t> 3.2.50 </t>
        </is>
      </c>
      <c r="B193" s="18" t="inlineStr">
        <is>
          <t> 368 </t>
        </is>
      </c>
      <c r="C193" s="16" t="inlineStr">
        <is>
          <t>Próprio</t>
        </is>
      </c>
      <c r="D193" s="16" t="inlineStr">
        <is>
          <t>DISJUNTOR TRIPOLAR 100A CURVA C. Fornecimento e Instalação</t>
        </is>
      </c>
      <c r="E193" s="16" t="inlineStr">
        <is>
          <t>INEL - INSTALAÇÃO ELÉTRICA/ELETRIFICAÇÃO E ILUMINAÇÃO EXTERNA</t>
        </is>
      </c>
      <c r="F193" s="17" t="inlineStr">
        <is>
          <t>UN</t>
        </is>
      </c>
      <c r="G193" s="18" t="n">
        <v>2.0</v>
      </c>
      <c r="H193" s="19" t="n">
        <v>210.79</v>
      </c>
      <c r="I193" s="19" t="n">
        <v>263.19</v>
      </c>
      <c r="J193" s="19" t="n">
        <v>71.16</v>
      </c>
      <c r="K193" s="19" t="n">
        <v>13.52</v>
      </c>
      <c r="L193" s="19" t="str">
        <f>526.38</f>
      </c>
      <c r="M193" s="20" t="n">
        <v>9.048976561919832e-05</v>
      </c>
    </row>
    <row customHeight="1" ht="36" r="194">
      <c r="A194" s="16" t="inlineStr">
        <is>
          <t> 3.2.51 </t>
        </is>
      </c>
      <c r="B194" s="18" t="inlineStr">
        <is>
          <t> 370 </t>
        </is>
      </c>
      <c r="C194" s="16" t="inlineStr">
        <is>
          <t>Próprio</t>
        </is>
      </c>
      <c r="D194" s="16" t="inlineStr">
        <is>
          <t>QUADRO DE DISTRIBUICAO COM BARRAMENTO TRIFASICO, DE EMBUTIR, EM CHAPA DE ACO GALVANIZADO, PARA 28 DISJUNTORES DIN, 100 A. Fornecimento e instalação</t>
        </is>
      </c>
      <c r="E194" s="16" t="inlineStr">
        <is>
          <t>ASTU - ASSENTAMENTO DE TUBOS E PECAS</t>
        </is>
      </c>
      <c r="F194" s="17" t="inlineStr">
        <is>
          <t>un</t>
        </is>
      </c>
      <c r="G194" s="18" t="n">
        <v>1.0</v>
      </c>
      <c r="H194" s="19" t="n">
        <v>795.91</v>
      </c>
      <c r="I194" s="19" t="n">
        <v>993.77</v>
      </c>
      <c r="J194" s="19" t="n">
        <v>25.24</v>
      </c>
      <c r="K194" s="19" t="n">
        <v>2.54</v>
      </c>
      <c r="L194" s="19" t="str">
        <f>993.77</f>
      </c>
      <c r="M194" s="20" t="n">
        <v>0.00017083858501347072</v>
      </c>
    </row>
    <row customHeight="1" ht="24" r="195">
      <c r="A195" s="16" t="inlineStr">
        <is>
          <t> 3.2.52 </t>
        </is>
      </c>
      <c r="B195" s="18" t="inlineStr">
        <is>
          <t> 101632 </t>
        </is>
      </c>
      <c r="C195" s="16" t="inlineStr">
        <is>
          <t>SINAPI</t>
        </is>
      </c>
      <c r="D195" s="16" t="inlineStr">
        <is>
          <t>RELÉ FOTOELÉTRICO PARA COMANDO DE ILUMINAÇÃO EXTERNA 1000 W - FORNECIMENTO E INSTALAÇÃO. AF_08/2020</t>
        </is>
      </c>
      <c r="E195" s="16" t="inlineStr">
        <is>
          <t>INEL - INSTALAÇÃO ELÉTRICA/ELETRIFICAÇÃO E ILUMINAÇÃO EXTERNA</t>
        </is>
      </c>
      <c r="F195" s="17" t="inlineStr">
        <is>
          <t>UN</t>
        </is>
      </c>
      <c r="G195" s="18" t="n">
        <v>95.0</v>
      </c>
      <c r="H195" s="19" t="n">
        <v>41.44</v>
      </c>
      <c r="I195" s="19" t="n">
        <v>51.74</v>
      </c>
      <c r="J195" s="19" t="n">
        <v>54.15</v>
      </c>
      <c r="K195" s="19" t="n">
        <v>1.1</v>
      </c>
      <c r="L195" s="19" t="str">
        <f>4915.3</f>
      </c>
      <c r="M195" s="20" t="n">
        <v>0.0008449871669669165</v>
      </c>
    </row>
    <row customHeight="1" ht="36" r="196">
      <c r="A196" s="16" t="inlineStr">
        <is>
          <t> 3.2.53 </t>
        </is>
      </c>
      <c r="B196" s="18" t="inlineStr">
        <is>
          <t> 363 </t>
        </is>
      </c>
      <c r="C196" s="16" t="inlineStr">
        <is>
          <t>Próprio</t>
        </is>
      </c>
      <c r="D196" s="16" t="inlineStr">
        <is>
          <t>Lâmpada led 100w, luz branca 6500k, TLN190 - E40, 120º de ângulo de abertura, marca Glight ou similar. Fornecimento e Instalação</t>
        </is>
      </c>
      <c r="E196" s="16" t="inlineStr">
        <is>
          <t>INEL - INSTALAÇÃO ELÉTRICA/ELETRIFICAÇÃO E ILUMINAÇÃO EXTERNA</t>
        </is>
      </c>
      <c r="F196" s="17" t="inlineStr">
        <is>
          <t>UN</t>
        </is>
      </c>
      <c r="G196" s="18" t="n">
        <v>71.0</v>
      </c>
      <c r="H196" s="19" t="n">
        <v>306.69</v>
      </c>
      <c r="I196" s="19" t="n">
        <v>382.93</v>
      </c>
      <c r="J196" s="19" t="n">
        <v>2503.46</v>
      </c>
      <c r="K196" s="19" t="n">
        <v>9.21</v>
      </c>
      <c r="L196" s="19" t="str">
        <f>27188.03</f>
      </c>
      <c r="M196" s="20" t="n">
        <v>0.004673882864751192</v>
      </c>
    </row>
    <row customHeight="1" ht="24" r="197">
      <c r="A197" s="8" t="inlineStr">
        <is>
          <t> 3.3 </t>
        </is>
      </c>
      <c r="B197" s="8"/>
      <c r="C197" s="8"/>
      <c r="D197" s="8" t="inlineStr">
        <is>
          <t>PREVENÇÃO A INCÊNDIO - SUBSTAÇÃO</t>
        </is>
      </c>
      <c r="E197" s="8"/>
      <c r="F197" s="8"/>
      <c r="G197" s="10"/>
      <c r="H197" s="8"/>
      <c r="I197" s="8"/>
      <c r="J197" s="8"/>
      <c r="K197" s="8"/>
      <c r="L197" s="11" t="n">
        <v>5142.8</v>
      </c>
      <c r="M197" s="12" t="n">
        <v>0.0008840965968053747</v>
      </c>
    </row>
    <row customHeight="1" ht="36" r="198">
      <c r="A198" s="16" t="inlineStr">
        <is>
          <t> 3.3.1 </t>
        </is>
      </c>
      <c r="B198" s="18" t="inlineStr">
        <is>
          <t> 9056 </t>
        </is>
      </c>
      <c r="C198" s="16" t="inlineStr">
        <is>
          <t>ORSE</t>
        </is>
      </c>
      <c r="D198" s="16" t="inlineStr">
        <is>
          <t>Luminária autônoma indicador de seta de emergência p/aclaramento ou balizamento mod.LAU 11x2 c/duas lâmpadas de 11w, Unitron ou similar</t>
        </is>
      </c>
      <c r="E198" s="16" t="inlineStr">
        <is>
          <t>Luminárias Internas</t>
        </is>
      </c>
      <c r="F198" s="17" t="inlineStr">
        <is>
          <t>un</t>
        </is>
      </c>
      <c r="G198" s="18" t="n">
        <v>4.0</v>
      </c>
      <c r="H198" s="19" t="n">
        <v>529.53</v>
      </c>
      <c r="I198" s="19" t="n">
        <v>661.17</v>
      </c>
      <c r="J198" s="19" t="n">
        <v>68.84</v>
      </c>
      <c r="K198" s="19" t="n">
        <v>2.6</v>
      </c>
      <c r="L198" s="19" t="str">
        <f>2644.68</f>
      </c>
      <c r="M198" s="20" t="n">
        <v>0.00045464583255021355</v>
      </c>
    </row>
    <row customHeight="1" ht="24" r="199">
      <c r="A199" s="16" t="inlineStr">
        <is>
          <t> 3.3.2 </t>
        </is>
      </c>
      <c r="B199" s="18" t="inlineStr">
        <is>
          <t> 72554 </t>
        </is>
      </c>
      <c r="C199" s="16" t="inlineStr">
        <is>
          <t>SINAPI</t>
        </is>
      </c>
      <c r="D199" s="16" t="inlineStr">
        <is>
          <t>EXTINTOR DE CO2 6KG - FORNECIMENTO E INSTALACAO</t>
        </is>
      </c>
      <c r="E199" s="16" t="inlineStr">
        <is>
          <t>INES - INSTALAÇÕES ESPECIAIS</t>
        </is>
      </c>
      <c r="F199" s="17" t="inlineStr">
        <is>
          <t>UN</t>
        </is>
      </c>
      <c r="G199" s="18" t="n">
        <v>2.0</v>
      </c>
      <c r="H199" s="19" t="n">
        <v>731.33</v>
      </c>
      <c r="I199" s="19" t="n">
        <v>913.13</v>
      </c>
      <c r="J199" s="19" t="n">
        <v>20.94</v>
      </c>
      <c r="K199" s="19" t="n">
        <v>1.15</v>
      </c>
      <c r="L199" s="19" t="str">
        <f>1826.26</f>
      </c>
      <c r="M199" s="20" t="n">
        <v>0.00031395159268915446</v>
      </c>
    </row>
    <row customHeight="1" ht="24" r="200">
      <c r="A200" s="16" t="inlineStr">
        <is>
          <t> 3.3.3 </t>
        </is>
      </c>
      <c r="B200" s="18" t="inlineStr">
        <is>
          <t> 50.10.220 </t>
        </is>
      </c>
      <c r="C200" s="16" t="inlineStr">
        <is>
          <t>CPOS</t>
        </is>
      </c>
      <c r="D200" s="16" t="inlineStr">
        <is>
          <t>Suporte para extintor de piso em aço inoxidável</t>
        </is>
      </c>
      <c r="E200" s="16" t="n">
        <v>50.1</v>
      </c>
      <c r="F200" s="17" t="inlineStr">
        <is>
          <t>un</t>
        </is>
      </c>
      <c r="G200" s="18" t="n">
        <v>2.0</v>
      </c>
      <c r="H200" s="19" t="n">
        <v>269.05</v>
      </c>
      <c r="I200" s="19" t="n">
        <v>335.93</v>
      </c>
      <c r="J200" s="19" t="n">
        <v>4.16</v>
      </c>
      <c r="K200" s="19" t="n">
        <v>0.62</v>
      </c>
      <c r="L200" s="19" t="str">
        <f>671.86</f>
      </c>
      <c r="M200" s="20" t="n">
        <v>0.00011549917156600665</v>
      </c>
    </row>
    <row customHeight="1" ht="24" r="201">
      <c r="A201" s="8" t="inlineStr">
        <is>
          <t> 3.4 </t>
        </is>
      </c>
      <c r="B201" s="8"/>
      <c r="C201" s="8"/>
      <c r="D201" s="8" t="inlineStr">
        <is>
          <t>PINTURA - SUBSTAÇÃO</t>
        </is>
      </c>
      <c r="E201" s="8"/>
      <c r="F201" s="8"/>
      <c r="G201" s="10"/>
      <c r="H201" s="8"/>
      <c r="I201" s="8"/>
      <c r="J201" s="8"/>
      <c r="K201" s="8"/>
      <c r="L201" s="11" t="n">
        <v>2643.78</v>
      </c>
      <c r="M201" s="12" t="n">
        <v>0.0004544911139266768</v>
      </c>
    </row>
    <row customHeight="1" ht="24" r="202">
      <c r="A202" s="16" t="inlineStr">
        <is>
          <t> 3.4.1 </t>
        </is>
      </c>
      <c r="B202" s="18" t="inlineStr">
        <is>
          <t> 180365 </t>
        </is>
      </c>
      <c r="C202" s="16" t="inlineStr">
        <is>
          <t>SBC</t>
        </is>
      </c>
      <c r="D202" s="16" t="inlineStr">
        <is>
          <t>PINTURA ESMALTE SINTETICO ACETINADO CORAL-CORRIMAO METALICO</t>
        </is>
      </c>
      <c r="E202" s="16" t="n">
        <v>180</v>
      </c>
      <c r="F202" s="17" t="inlineStr">
        <is>
          <t>M</t>
        </is>
      </c>
      <c r="G202" s="18" t="n">
        <v>31.0</v>
      </c>
      <c r="H202" s="19" t="n">
        <v>8.02</v>
      </c>
      <c r="I202" s="19" t="n">
        <v>10.01</v>
      </c>
      <c r="J202" s="19" t="n">
        <v>48.98</v>
      </c>
      <c r="K202" s="19" t="n">
        <v>15.78</v>
      </c>
      <c r="L202" s="19" t="str">
        <f>310.31</f>
      </c>
      <c r="M202" s="20" t="n">
        <v>5.334526229965696e-05</v>
      </c>
    </row>
    <row customHeight="1" ht="24" r="203">
      <c r="A203" s="16" t="inlineStr">
        <is>
          <t> 3.4.2 </t>
        </is>
      </c>
      <c r="B203" s="18" t="inlineStr">
        <is>
          <t> 180091 </t>
        </is>
      </c>
      <c r="C203" s="16" t="inlineStr">
        <is>
          <t>SBC</t>
        </is>
      </c>
      <c r="D203" s="16" t="inlineStr">
        <is>
          <t>PINTURA OLEO EM PORTAS DE MADEIRA SOBRE SUPERFICIE PREPARADA</t>
        </is>
      </c>
      <c r="E203" s="16" t="n">
        <v>180</v>
      </c>
      <c r="F203" s="17" t="inlineStr">
        <is>
          <t>m²</t>
        </is>
      </c>
      <c r="G203" s="18" t="n">
        <v>14.3</v>
      </c>
      <c r="H203" s="19" t="n">
        <v>16.44</v>
      </c>
      <c r="I203" s="19" t="n">
        <v>20.52</v>
      </c>
      <c r="J203" s="19" t="n">
        <v>189.18</v>
      </c>
      <c r="K203" s="19" t="n">
        <v>64.47</v>
      </c>
      <c r="L203" s="19" t="str">
        <f>293.43</f>
      </c>
      <c r="M203" s="20" t="n">
        <v>5.0443428560434215e-05</v>
      </c>
    </row>
    <row customHeight="1" ht="24" r="204">
      <c r="A204" s="16" t="inlineStr">
        <is>
          <t> 3.4.3 </t>
        </is>
      </c>
      <c r="B204" s="18" t="inlineStr">
        <is>
          <t> 261001 </t>
        </is>
      </c>
      <c r="C204" s="16" t="inlineStr">
        <is>
          <t>AGETOP CIVIL</t>
        </is>
      </c>
      <c r="D204" s="16" t="inlineStr">
        <is>
          <t>PINTURA LATEX ACRILICO 2 DEMAOS</t>
        </is>
      </c>
      <c r="E204" s="16" t="n">
        <v>26</v>
      </c>
      <c r="F204" s="17" t="inlineStr">
        <is>
          <t>m²</t>
        </is>
      </c>
      <c r="G204" s="18" t="n">
        <v>108.0</v>
      </c>
      <c r="H204" s="19" t="n">
        <v>11.49</v>
      </c>
      <c r="I204" s="19" t="n">
        <v>14.34</v>
      </c>
      <c r="J204" s="19" t="n">
        <v>870.48</v>
      </c>
      <c r="K204" s="19" t="n">
        <v>56.21</v>
      </c>
      <c r="L204" s="19" t="str">
        <f>1548.72</f>
      </c>
      <c r="M204" s="20" t="n">
        <v>0.00026623980738205253</v>
      </c>
    </row>
    <row customHeight="1" ht="24" r="205">
      <c r="A205" s="16" t="inlineStr">
        <is>
          <t> 3.4.4 </t>
        </is>
      </c>
      <c r="B205" s="18" t="inlineStr">
        <is>
          <t> 88486 </t>
        </is>
      </c>
      <c r="C205" s="16" t="inlineStr">
        <is>
          <t>SINAPI</t>
        </is>
      </c>
      <c r="D205" s="16" t="inlineStr">
        <is>
          <t>APLICAÇÃO MANUAL DE PINTURA COM TINTA LÁTEX PVA EM TETO, DUAS DEMÃOS. AF_06/2014</t>
        </is>
      </c>
      <c r="E205" s="16" t="inlineStr">
        <is>
          <t>PINT - PINTURAS</t>
        </is>
      </c>
      <c r="F205" s="17" t="inlineStr">
        <is>
          <t>m²</t>
        </is>
      </c>
      <c r="G205" s="18" t="n">
        <v>35.5</v>
      </c>
      <c r="H205" s="19" t="n">
        <v>11.09</v>
      </c>
      <c r="I205" s="19" t="n">
        <v>13.84</v>
      </c>
      <c r="J205" s="19" t="n">
        <v>153.0</v>
      </c>
      <c r="K205" s="19" t="n">
        <v>31.14</v>
      </c>
      <c r="L205" s="19" t="str">
        <f>491.32</f>
      </c>
      <c r="M205" s="20" t="n">
        <v>8.446261568453308e-05</v>
      </c>
    </row>
    <row customHeight="1" ht="24" r="206">
      <c r="A206" s="8" t="inlineStr">
        <is>
          <t> 3.5 </t>
        </is>
      </c>
      <c r="B206" s="8"/>
      <c r="C206" s="8"/>
      <c r="D206" s="8" t="inlineStr">
        <is>
          <t>SERVIÇOS EXTERNOS - SUBSTAÇÃO</t>
        </is>
      </c>
      <c r="E206" s="8"/>
      <c r="F206" s="8"/>
      <c r="G206" s="10"/>
      <c r="H206" s="8"/>
      <c r="I206" s="8"/>
      <c r="J206" s="8"/>
      <c r="K206" s="8"/>
      <c r="L206" s="11" t="n">
        <v>5880.0</v>
      </c>
      <c r="M206" s="12" t="n">
        <v>0.0010108283404401499</v>
      </c>
    </row>
    <row customHeight="1" ht="24" r="207">
      <c r="A207" s="16" t="inlineStr">
        <is>
          <t> 3.5.1 </t>
        </is>
      </c>
      <c r="B207" s="18" t="inlineStr">
        <is>
          <t> 270501 </t>
        </is>
      </c>
      <c r="C207" s="16" t="inlineStr">
        <is>
          <t>AGETOP CIVIL</t>
        </is>
      </c>
      <c r="D207" s="16" t="inlineStr">
        <is>
          <t>LIMPEZA FINAL DE OBRA - (OBRAS CIVIS)</t>
        </is>
      </c>
      <c r="E207" s="16" t="n">
        <v>27</v>
      </c>
      <c r="F207" s="17" t="inlineStr">
        <is>
          <t>m²</t>
        </is>
      </c>
      <c r="G207" s="18" t="n">
        <v>2000.0</v>
      </c>
      <c r="H207" s="19" t="n">
        <v>2.36</v>
      </c>
      <c r="I207" s="19" t="n">
        <v>2.94</v>
      </c>
      <c r="J207" s="19" t="n">
        <v>4160.0</v>
      </c>
      <c r="K207" s="19" t="n">
        <v>70.75</v>
      </c>
      <c r="L207" s="19" t="str">
        <f>5880.0</f>
      </c>
      <c r="M207" s="20" t="n">
        <v>0.0010108283404401499</v>
      </c>
    </row>
    <row customHeight="1" ht="24" r="208">
      <c r="A208" s="8" t="inlineStr">
        <is>
          <t> 3.6 </t>
        </is>
      </c>
      <c r="B208" s="8"/>
      <c r="C208" s="8"/>
      <c r="D208" s="8" t="inlineStr">
        <is>
          <t>PLATAFORMA 8</t>
        </is>
      </c>
      <c r="E208" s="8"/>
      <c r="F208" s="8"/>
      <c r="G208" s="10"/>
      <c r="H208" s="8"/>
      <c r="I208" s="8"/>
      <c r="J208" s="8"/>
      <c r="K208" s="8"/>
      <c r="L208" s="11" t="n">
        <v>263456.53</v>
      </c>
      <c r="M208" s="12" t="n">
        <v>0.04529070187041166</v>
      </c>
    </row>
    <row customHeight="1" ht="24" r="209">
      <c r="A209" s="16" t="inlineStr">
        <is>
          <t> 3.6.1 </t>
        </is>
      </c>
      <c r="B209" s="18" t="inlineStr">
        <is>
          <t> 11558 </t>
        </is>
      </c>
      <c r="C209" s="16" t="inlineStr">
        <is>
          <t>ORSE</t>
        </is>
      </c>
      <c r="D209" s="16" t="inlineStr">
        <is>
          <t>Disjuntor termomagnetico tripolar 350 A, padrão DIN (Europeu - linha branca), 65KA</t>
        </is>
      </c>
      <c r="E209" s="16" t="inlineStr">
        <is>
          <t>Fusíveis, Disjuntores e Chaves</t>
        </is>
      </c>
      <c r="F209" s="17" t="inlineStr">
        <is>
          <t>un</t>
        </is>
      </c>
      <c r="G209" s="18" t="n">
        <v>6.0</v>
      </c>
      <c r="H209" s="19" t="n">
        <v>2045.18</v>
      </c>
      <c r="I209" s="19" t="n">
        <v>2553.61</v>
      </c>
      <c r="J209" s="19" t="n">
        <v>413.16</v>
      </c>
      <c r="K209" s="19" t="n">
        <v>2.7</v>
      </c>
      <c r="L209" s="19" t="str">
        <f>15321.66</f>
      </c>
      <c r="M209" s="20" t="n">
        <v>0.0026339401616646647</v>
      </c>
    </row>
    <row customHeight="1" ht="24" r="210">
      <c r="A210" s="16" t="inlineStr">
        <is>
          <t> 3.6.2 </t>
        </is>
      </c>
      <c r="B210" s="18" t="inlineStr">
        <is>
          <t> SPDA-BAR-015 </t>
        </is>
      </c>
      <c r="C210" s="16" t="inlineStr">
        <is>
          <t>SETOP</t>
        </is>
      </c>
      <c r="D210" s="16" t="inlineStr">
        <is>
          <t>BARRA CHATA DE COBRE 3/4" X 3/16" X 3M</t>
        </is>
      </c>
      <c r="E210" s="16" t="inlineStr">
        <is>
          <t/>
        </is>
      </c>
      <c r="F210" s="17" t="inlineStr">
        <is>
          <t>U</t>
        </is>
      </c>
      <c r="G210" s="18" t="n">
        <v>8.0</v>
      </c>
      <c r="H210" s="19" t="n">
        <v>73.23</v>
      </c>
      <c r="I210" s="19" t="n">
        <v>91.43</v>
      </c>
      <c r="J210" s="19" t="n">
        <v>76.08</v>
      </c>
      <c r="K210" s="19" t="n">
        <v>10.4</v>
      </c>
      <c r="L210" s="19" t="str">
        <f>731.44</f>
      </c>
      <c r="M210" s="20" t="n">
        <v>0.00012574154444414001</v>
      </c>
    </row>
    <row customHeight="1" ht="24" r="211">
      <c r="A211" s="16" t="inlineStr">
        <is>
          <t> 3.6.3 </t>
        </is>
      </c>
      <c r="B211" s="18" t="inlineStr">
        <is>
          <t> 3836 </t>
        </is>
      </c>
      <c r="C211" s="16" t="inlineStr">
        <is>
          <t>ORSE</t>
        </is>
      </c>
      <c r="D211" s="16" t="inlineStr">
        <is>
          <t>Caixa em chapa metálica galvanizada 60 x 50 x 20cm, para quadro de comando</t>
        </is>
      </c>
      <c r="E211" s="16" t="inlineStr">
        <is>
          <t>Quadros de Distribuição de Energia</t>
        </is>
      </c>
      <c r="F211" s="17" t="inlineStr">
        <is>
          <t>un</t>
        </is>
      </c>
      <c r="G211" s="18" t="n">
        <v>6.0</v>
      </c>
      <c r="H211" s="19" t="n">
        <v>498.52</v>
      </c>
      <c r="I211" s="19" t="n">
        <v>622.45</v>
      </c>
      <c r="J211" s="19" t="n">
        <v>237.0</v>
      </c>
      <c r="K211" s="19" t="n">
        <v>6.35</v>
      </c>
      <c r="L211" s="19" t="str">
        <f>3734.7</f>
      </c>
      <c r="M211" s="20" t="n">
        <v>0.000642030714803032</v>
      </c>
    </row>
    <row customHeight="1" ht="24" r="212">
      <c r="A212" s="16" t="inlineStr">
        <is>
          <t> 3.6.4 </t>
        </is>
      </c>
      <c r="B212" s="18" t="inlineStr">
        <is>
          <t> 37.20.010 </t>
        </is>
      </c>
      <c r="C212" s="16" t="inlineStr">
        <is>
          <t>CPOS</t>
        </is>
      </c>
      <c r="D212" s="16" t="inlineStr">
        <is>
          <t>Isolador em epóxi de 1 kV para barramento</t>
        </is>
      </c>
      <c r="E212" s="16" t="n">
        <v>37.2</v>
      </c>
      <c r="F212" s="17" t="inlineStr">
        <is>
          <t>un</t>
        </is>
      </c>
      <c r="G212" s="18" t="n">
        <v>60.0</v>
      </c>
      <c r="H212" s="19" t="n">
        <v>31.14</v>
      </c>
      <c r="I212" s="19" t="n">
        <v>38.88</v>
      </c>
      <c r="J212" s="19" t="n">
        <v>469.8</v>
      </c>
      <c r="K212" s="19" t="n">
        <v>20.14</v>
      </c>
      <c r="L212" s="19" t="str">
        <f>2332.8</f>
      </c>
      <c r="M212" s="20" t="n">
        <v>0.0004010306722072758</v>
      </c>
    </row>
    <row customHeight="1" ht="24" r="213">
      <c r="A213" s="16" t="inlineStr">
        <is>
          <t> 3.6.5 </t>
        </is>
      </c>
      <c r="B213" s="18" t="inlineStr">
        <is>
          <t> 072630 </t>
        </is>
      </c>
      <c r="C213" s="16" t="inlineStr">
        <is>
          <t>AGETOP CIVIL</t>
        </is>
      </c>
      <c r="D213" s="16" t="inlineStr">
        <is>
          <t>TRILHO OU SUPORTE P/BORNE TERMINAL</t>
        </is>
      </c>
      <c r="E213" s="16" t="n">
        <v>7</v>
      </c>
      <c r="F213" s="17" t="inlineStr">
        <is>
          <t>M</t>
        </is>
      </c>
      <c r="G213" s="18" t="n">
        <v>12.0</v>
      </c>
      <c r="H213" s="19" t="n">
        <v>20.73</v>
      </c>
      <c r="I213" s="19" t="n">
        <v>25.88</v>
      </c>
      <c r="J213" s="19" t="n">
        <v>133.32</v>
      </c>
      <c r="K213" s="19" t="n">
        <v>42.93</v>
      </c>
      <c r="L213" s="19" t="str">
        <f>310.56</f>
      </c>
      <c r="M213" s="20" t="n">
        <v>5.338823969508384e-05</v>
      </c>
    </row>
    <row customHeight="1" ht="24" r="214">
      <c r="A214" s="16" t="inlineStr">
        <is>
          <t> 3.6.6 </t>
        </is>
      </c>
      <c r="B214" s="18" t="inlineStr">
        <is>
          <t> 3419 </t>
        </is>
      </c>
      <c r="C214" s="16" t="inlineStr">
        <is>
          <t>ORSE</t>
        </is>
      </c>
      <c r="D214" s="16" t="inlineStr">
        <is>
          <t>Chapa em policarbonato mr-10, cor cristal, ge, espessura 6.0 mm</t>
        </is>
      </c>
      <c r="E214" s="16" t="inlineStr">
        <is>
          <t>Conversão InfoWOrca</t>
        </is>
      </c>
      <c r="F214" s="17" t="inlineStr">
        <is>
          <t>m²</t>
        </is>
      </c>
      <c r="G214" s="18" t="n">
        <v>5.0</v>
      </c>
      <c r="H214" s="19" t="n">
        <v>1511.52</v>
      </c>
      <c r="I214" s="19" t="n">
        <v>1887.28</v>
      </c>
      <c r="J214" s="19" t="n">
        <v>0.0</v>
      </c>
      <c r="K214" s="19" t="n">
        <v>0.0</v>
      </c>
      <c r="L214" s="19" t="str">
        <f>9436.4</f>
      </c>
      <c r="M214" s="20" t="n">
        <v>0.0016222075768247332</v>
      </c>
    </row>
    <row customHeight="1" ht="36" r="215">
      <c r="A215" s="16" t="inlineStr">
        <is>
          <t> 3.6.7 </t>
        </is>
      </c>
      <c r="B215" s="18" t="inlineStr">
        <is>
          <t> 91872 </t>
        </is>
      </c>
      <c r="C215" s="16" t="inlineStr">
        <is>
          <t>SINAPI</t>
        </is>
      </c>
      <c r="D215" s="16" t="inlineStr">
        <is>
          <t>ELETRODUTO RÍGIDO ROSCÁVEL, PVC, DN 32 MM (1"), PARA CIRCUITOS TERMINAIS, INSTALADO EM PAREDE - FORNECIMENTO E INSTALAÇÃO. AF_12/2015</t>
        </is>
      </c>
      <c r="E215" s="16" t="inlineStr">
        <is>
          <t>INEL - INSTALAÇÃO ELÉTRICA/ELETRIFICAÇÃO E ILUMINAÇÃO EXTERNA</t>
        </is>
      </c>
      <c r="F215" s="17" t="inlineStr">
        <is>
          <t>M</t>
        </is>
      </c>
      <c r="G215" s="18" t="n">
        <v>96.0</v>
      </c>
      <c r="H215" s="19" t="n">
        <v>11.66</v>
      </c>
      <c r="I215" s="19" t="n">
        <v>14.55</v>
      </c>
      <c r="J215" s="19" t="n">
        <v>643.2</v>
      </c>
      <c r="K215" s="19" t="n">
        <v>46.05</v>
      </c>
      <c r="L215" s="19" t="str">
        <f>1396.8</f>
      </c>
      <c r="M215" s="20" t="n">
        <v>0.00024012330372904787</v>
      </c>
    </row>
    <row customHeight="1" ht="24" r="216">
      <c r="A216" s="16" t="inlineStr">
        <is>
          <t> 3.6.8 </t>
        </is>
      </c>
      <c r="B216" s="18" t="inlineStr">
        <is>
          <t> 110616 </t>
        </is>
      </c>
      <c r="C216" s="16" t="inlineStr">
        <is>
          <t>CAEMA</t>
        </is>
      </c>
      <c r="D216" s="16" t="inlineStr">
        <is>
          <t>EXECUÇÃO DE VALETA EM ALVENARIA DE PEDRA ARGAMASSADA SEM REVESTIMENTO (DP1106-01)</t>
        </is>
      </c>
      <c r="E216" s="16" t="n">
        <v>1106</v>
      </c>
      <c r="F216" s="17" t="inlineStr">
        <is>
          <t>m³</t>
        </is>
      </c>
      <c r="G216" s="18" t="n">
        <v>50.0</v>
      </c>
      <c r="H216" s="19" t="n">
        <v>360.05</v>
      </c>
      <c r="I216" s="19" t="n">
        <v>449.55</v>
      </c>
      <c r="J216" s="19" t="n">
        <v>13153.5</v>
      </c>
      <c r="K216" s="19" t="n">
        <v>58.52</v>
      </c>
      <c r="L216" s="19" t="str">
        <f>22477.5</f>
      </c>
      <c r="M216" s="20" t="n">
        <v>0.0038640976228305223</v>
      </c>
    </row>
    <row customHeight="1" ht="24" r="217">
      <c r="A217" s="16" t="inlineStr">
        <is>
          <t> 3.6.9 </t>
        </is>
      </c>
      <c r="B217" s="18" t="inlineStr">
        <is>
          <t> 9544 </t>
        </is>
      </c>
      <c r="C217" s="16" t="inlineStr">
        <is>
          <t>ORSE</t>
        </is>
      </c>
      <c r="D217" s="16" t="inlineStr">
        <is>
          <t>Cabo de cobre nú 240 mm2 - fornecimento e assentamento</t>
        </is>
      </c>
      <c r="E217" s="16" t="inlineStr">
        <is>
          <t>Pára-raios</t>
        </is>
      </c>
      <c r="F217" s="17" t="inlineStr">
        <is>
          <t>kg</t>
        </is>
      </c>
      <c r="G217" s="18" t="n">
        <v>60.0</v>
      </c>
      <c r="H217" s="19" t="n">
        <v>143.11</v>
      </c>
      <c r="I217" s="19" t="n">
        <v>178.68</v>
      </c>
      <c r="J217" s="19" t="n">
        <v>247.2</v>
      </c>
      <c r="K217" s="19" t="n">
        <v>2.31</v>
      </c>
      <c r="L217" s="19" t="str">
        <f>10720.8</f>
      </c>
      <c r="M217" s="20" t="n">
        <v>0.0018430082435698571</v>
      </c>
    </row>
    <row customHeight="1" ht="24" r="218">
      <c r="A218" s="16" t="inlineStr">
        <is>
          <t> 3.6.10 </t>
        </is>
      </c>
      <c r="B218" s="18" t="inlineStr">
        <is>
          <t> 451 </t>
        </is>
      </c>
      <c r="C218" s="16" t="inlineStr">
        <is>
          <t>ORSE</t>
        </is>
      </c>
      <c r="D218" s="16" t="inlineStr">
        <is>
          <t>Disjuntor termomagnetico tripolar  32 A, padrão DIN (Europeu - linha branca), curva C</t>
        </is>
      </c>
      <c r="E218" s="16" t="inlineStr">
        <is>
          <t>Fusíveis, Disjuntores e Chaves</t>
        </is>
      </c>
      <c r="F218" s="17" t="inlineStr">
        <is>
          <t>un</t>
        </is>
      </c>
      <c r="G218" s="18" t="n">
        <v>96.0</v>
      </c>
      <c r="H218" s="19" t="n">
        <v>114.19</v>
      </c>
      <c r="I218" s="19" t="n">
        <v>142.57</v>
      </c>
      <c r="J218" s="19" t="n">
        <v>3305.28</v>
      </c>
      <c r="K218" s="19" t="n">
        <v>24.15</v>
      </c>
      <c r="L218" s="19" t="str">
        <f>13686.72</f>
      </c>
      <c r="M218" s="20" t="n">
        <v>0.002352878310147791</v>
      </c>
    </row>
    <row customHeight="1" ht="24" r="219">
      <c r="A219" s="16" t="inlineStr">
        <is>
          <t> 3.6.11 </t>
        </is>
      </c>
      <c r="B219" s="18" t="inlineStr">
        <is>
          <t> 367 </t>
        </is>
      </c>
      <c r="C219" s="16" t="inlineStr">
        <is>
          <t>Próprio</t>
        </is>
      </c>
      <c r="D219" s="16" t="inlineStr">
        <is>
          <t>Tomada trifásica com placa de embutir 32A STECK ou similar. Fornecimento e instalação</t>
        </is>
      </c>
      <c r="E219" s="16" t="inlineStr">
        <is>
          <t>ASTU - ASSENTAMENTO DE TUBOS E PECAS</t>
        </is>
      </c>
      <c r="F219" s="17" t="inlineStr">
        <is>
          <t>un</t>
        </is>
      </c>
      <c r="G219" s="18" t="n">
        <v>96.0</v>
      </c>
      <c r="H219" s="19" t="n">
        <v>54.75</v>
      </c>
      <c r="I219" s="19" t="n">
        <v>68.36</v>
      </c>
      <c r="J219" s="19" t="n">
        <v>1522.56</v>
      </c>
      <c r="K219" s="19" t="n">
        <v>23.2</v>
      </c>
      <c r="L219" s="19" t="str">
        <f>6562.56</f>
      </c>
      <c r="M219" s="20" t="n">
        <v>0.0011281669445304269</v>
      </c>
    </row>
    <row customHeight="1" ht="36" r="220">
      <c r="A220" s="16" t="inlineStr">
        <is>
          <t> 3.6.12 </t>
        </is>
      </c>
      <c r="B220" s="18" t="inlineStr">
        <is>
          <t> 2070315 </t>
        </is>
      </c>
      <c r="C220" s="16" t="inlineStr">
        <is>
          <t>CAERN</t>
        </is>
      </c>
      <c r="D220" s="16" t="inlineStr">
        <is>
          <t>CABO DE COBRE ISOLADO HEPR (XLPE), 6,0 MM², ANTI-CHAMA 1,0KV/90°C -FORNECIMENTO E INSTALAÇÃO. INC_01/2020</t>
        </is>
      </c>
      <c r="E220" s="16" t="n">
        <v>207</v>
      </c>
      <c r="F220" s="17" t="inlineStr">
        <is>
          <t>M</t>
        </is>
      </c>
      <c r="G220" s="18" t="n">
        <v>12785.0</v>
      </c>
      <c r="H220" s="19" t="n">
        <v>10.86</v>
      </c>
      <c r="I220" s="19" t="n">
        <v>13.55</v>
      </c>
      <c r="J220" s="19" t="n">
        <v>40144.9</v>
      </c>
      <c r="K220" s="19" t="n">
        <v>23.17</v>
      </c>
      <c r="L220" s="19" t="str">
        <f>173236.75</f>
      </c>
      <c r="M220" s="20" t="n">
        <v>0.029781057228868223</v>
      </c>
    </row>
    <row customHeight="1" ht="36" r="221">
      <c r="A221" s="16" t="inlineStr">
        <is>
          <t> 3.6.13 </t>
        </is>
      </c>
      <c r="B221" s="18" t="inlineStr">
        <is>
          <t> 365 </t>
        </is>
      </c>
      <c r="C221" s="16" t="inlineStr">
        <is>
          <t>Próprio</t>
        </is>
      </c>
      <c r="D221" s="16" t="inlineStr">
        <is>
          <t>Haste cobreada copperweld p/aterramento d=  5/8" x 2,40m com conector em liga de cobre e aço inoxidável. Fornecimento e instalação</t>
        </is>
      </c>
      <c r="E221" s="16" t="inlineStr">
        <is>
          <t>ASTU - ASSENTAMENTO DE TUBOS E PECAS</t>
        </is>
      </c>
      <c r="F221" s="17" t="inlineStr">
        <is>
          <t>un</t>
        </is>
      </c>
      <c r="G221" s="18" t="n">
        <v>48.0</v>
      </c>
      <c r="H221" s="19" t="n">
        <v>58.53</v>
      </c>
      <c r="I221" s="19" t="n">
        <v>73.08</v>
      </c>
      <c r="J221" s="19" t="n">
        <v>1158.24</v>
      </c>
      <c r="K221" s="19" t="n">
        <v>33.02</v>
      </c>
      <c r="L221" s="19" t="str">
        <f>3507.84</f>
      </c>
      <c r="M221" s="20" t="n">
        <v>0.0006030313070968666</v>
      </c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</row>
    <row r="223">
      <c r="A223" s="57" t="inlineStr">
        <is>
          <t>Tipo de Licitação</t>
        </is>
      </c>
      <c r="B223" s="57"/>
      <c r="C223" s="57"/>
      <c r="D223" s="64" t="inlineStr">
        <is>
          <t>DISPENSA DE LICITAÇÃO Nº 20/2020</t>
        </is>
      </c>
      <c r="E223" s="57"/>
      <c r="F223" s="57"/>
      <c r="G223" s="57"/>
      <c r="H223" s="57"/>
      <c r="I223" s="55" t="inlineStr">
        <is>
          <t>Total sem BDI</t>
        </is>
      </c>
      <c r="J223" s="57"/>
      <c r="K223" s="58" t="n">
        <v>4659090.0</v>
      </c>
      <c r="L223" s="57"/>
      <c r="M223" s="57"/>
    </row>
    <row r="224">
      <c r="A224" s="57" t="inlineStr">
        <is>
          <t>Abertura da Licitação</t>
        </is>
      </c>
      <c r="B224" s="57"/>
      <c r="C224" s="57"/>
      <c r="D224" s="64" t="inlineStr">
        <is>
          <t>23/07/2020 00:00</t>
        </is>
      </c>
      <c r="E224" s="57"/>
      <c r="F224" s="57"/>
      <c r="G224" s="57"/>
      <c r="H224" s="57"/>
      <c r="I224" s="55" t="inlineStr">
        <is>
          <t>Total do BDI</t>
        </is>
      </c>
      <c r="J224" s="57"/>
      <c r="K224" s="58" t="n">
        <v>1157921.42</v>
      </c>
      <c r="L224" s="57"/>
      <c r="M224" s="57"/>
    </row>
    <row r="225">
      <c r="A225" s="57" t="inlineStr">
        <is>
          <t>Número do Processo Licitatório</t>
        </is>
      </c>
      <c r="B225" s="57"/>
      <c r="C225" s="57"/>
      <c r="D225" s="64" t="inlineStr">
        <is>
          <t>31.203.000030.2020</t>
        </is>
      </c>
      <c r="E225" s="57"/>
      <c r="F225" s="57"/>
      <c r="G225" s="57"/>
      <c r="H225" s="57"/>
      <c r="I225" s="55" t="inlineStr">
        <is>
          <t>Total Geral</t>
        </is>
      </c>
      <c r="J225" s="57"/>
      <c r="K225" s="58" t="n">
        <v>5817011.42</v>
      </c>
      <c r="L225" s="57"/>
      <c r="M225" s="57"/>
    </row>
    <row customHeight="1" ht="60" r="226">
      <c r="A226" s="56"/>
      <c r="B226" s="56"/>
      <c r="C226" s="56"/>
      <c r="D226" s="56"/>
      <c r="E226" s="56"/>
      <c r="F226" s="56"/>
      <c r="G226" s="56"/>
      <c r="H226" s="56"/>
      <c r="I226" s="56"/>
      <c r="J226" s="56"/>
      <c r="K226" s="56"/>
      <c r="L226" s="56"/>
      <c r="M226" s="56"/>
    </row>
    <row customHeight="1" ht="70" r="227">
      <c r="A227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27">
    <mergeCell ref="F1:H1"/>
    <mergeCell ref="I1:m1"/>
    <mergeCell ref="F2:H2"/>
    <mergeCell ref="I2:m2"/>
    <mergeCell ref="A3:m3"/>
    <mergeCell ref="A4:A5"/>
    <mergeCell ref="B4:B5"/>
    <mergeCell ref="C4:C5"/>
    <mergeCell ref="D4:D5"/>
    <mergeCell ref="E4:E5"/>
    <mergeCell ref="F4:F5"/>
    <mergeCell ref="G4:G5"/>
    <mergeCell ref="H4:H5"/>
    <mergeCell ref="J4:K4"/>
    <mergeCell ref="I4:I5"/>
    <mergeCell ref="L4:L5"/>
    <mergeCell ref="M4:M5"/>
    <mergeCell ref="A223:C223"/>
    <mergeCell ref="i223:j223"/>
    <mergeCell ref="k223:m223"/>
    <mergeCell ref="A224:C224"/>
    <mergeCell ref="i224:j224"/>
    <mergeCell ref="k224:m224"/>
    <mergeCell ref="A225:C225"/>
    <mergeCell ref="i225:j225"/>
    <mergeCell ref="k225:m225"/>
    <mergeCell ref="A227:m227"/>
  </mergeCells>
  <printOptions verticalCentered="0" horizontalCentered="0" headings="0" gridLines="0"/>
  <pageMargins right="0.5" left="0.5" bottom="1" top="1" footer="0.5" header="0.5"/>
  <pageSetup paperSize="9" fitToWidth="1" fitToHeight="0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2022-01-15T18:51:05Z</dcterms:created>
  <cp:revision>0</cp:revision>
</cp:coreProperties>
</file>